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pubapps\community-investment-grants\early-childhood-education\meeting-documents\2021-04-20\"/>
    </mc:Choice>
  </mc:AlternateContent>
  <workbookProtection workbookAlgorithmName="SHA-512" workbookHashValue="ZYNRfY7aztpkY+S1nrefbyq/sqwJG9aOS8x3SjoLTv9t1Ka1EOrZU7sZwwbAeab2xrDNetXrRo9xej8skVulkg==" workbookSaltValue="ugGXUtlJObu7uzMGSKWktA==" workbookSpinCount="100000" lockStructure="1"/>
  <bookViews>
    <workbookView xWindow="240" yWindow="120" windowWidth="14940" windowHeight="9225" tabRatio="711"/>
  </bookViews>
  <sheets>
    <sheet name="Funding Summary - Full Amount" sheetId="8" r:id="rId1"/>
    <sheet name="Funding Summary - Less ACS" sheetId="12" r:id="rId2"/>
    <sheet name="consolidated" sheetId="11" state="hidden" r:id="rId3"/>
    <sheet name="Summary" sheetId="3" state="hidden" r:id="rId4"/>
    <sheet name="Scoring Comparison" sheetId="10" state="hidden" r:id="rId5"/>
    <sheet name="Scores by Category" sheetId="6" state="hidden" r:id="rId6"/>
    <sheet name="Scoring Data" sheetId="1" state="hidden" r:id="rId7"/>
    <sheet name="Validation" sheetId="9" state="hidden" r:id="rId8"/>
    <sheet name="App's Recieved" sheetId="2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62913"/>
  <pivotCaches>
    <pivotCache cacheId="0" r:id="rId21"/>
    <pivotCache cacheId="1" r:id="rId22"/>
    <pivotCache cacheId="2" r:id="rId23"/>
    <pivotCache cacheId="3" r:id="rId24"/>
    <pivotCache cacheId="4" r:id="rId25"/>
    <pivotCache cacheId="5" r:id="rId26"/>
    <pivotCache cacheId="6" r:id="rId27"/>
  </pivotCaches>
  <extLst>
    <ext xmlns:x15="http://schemas.microsoft.com/office/spreadsheetml/2010/11/main" uri="{FCE2AD5D-F65C-4FA6-A056-5C36A1767C68}">
      <x15:dataModel>
        <x15:modelTables>
          <x15:modelTable id="Scores_e29a0e44-01a8-4efc-a916-301cc9ba4443" name="Scores" connection="Query - Scores"/>
          <x15:modelTable id="Applications_66a2d5cc-e945-48a4-8e83-7f0ea3fda9a3" name="Applications" connection="Query - Applications"/>
        </x15:modelTables>
        <x15:modelRelationships>
          <x15:modelRelationship fromTable="Scores" fromColumn="LookupKey" toTable="Applications" toColumn="LookupKey"/>
        </x15:modelRelationships>
      </x15:dataModel>
    </ext>
  </extLst>
</workbook>
</file>

<file path=xl/calcChain.xml><?xml version="1.0" encoding="utf-8"?>
<calcChain xmlns="http://schemas.openxmlformats.org/spreadsheetml/2006/main">
  <c r="Z7" i="12" l="1"/>
  <c r="AA7" i="12"/>
  <c r="AB7" i="12"/>
  <c r="AC7" i="12"/>
  <c r="AD7" i="12"/>
  <c r="Z8" i="12"/>
  <c r="AA8" i="12"/>
  <c r="AB8" i="12"/>
  <c r="AC8" i="12"/>
  <c r="AD8" i="12"/>
  <c r="Z9" i="12"/>
  <c r="AA9" i="12"/>
  <c r="AB9" i="12"/>
  <c r="AC9" i="12"/>
  <c r="AD9" i="12"/>
  <c r="Z10" i="12"/>
  <c r="AA10" i="12"/>
  <c r="AB10" i="12"/>
  <c r="AC10" i="12"/>
  <c r="AD10" i="12"/>
  <c r="Z11" i="12"/>
  <c r="AA11" i="12"/>
  <c r="AB11" i="12"/>
  <c r="AC11" i="12"/>
  <c r="AD11" i="12"/>
  <c r="Z12" i="12"/>
  <c r="AA12" i="12"/>
  <c r="AB12" i="12"/>
  <c r="AC12" i="12"/>
  <c r="AD12" i="12"/>
  <c r="Z13" i="12"/>
  <c r="AA13" i="12"/>
  <c r="AB13" i="12"/>
  <c r="AC13" i="12"/>
  <c r="AD13" i="12"/>
  <c r="Z14" i="12"/>
  <c r="AA14" i="12"/>
  <c r="AB14" i="12"/>
  <c r="AC14" i="12"/>
  <c r="AD14" i="12"/>
  <c r="Z15" i="12"/>
  <c r="AA15" i="12"/>
  <c r="AB15" i="12"/>
  <c r="AC15" i="12"/>
  <c r="AD15" i="12"/>
  <c r="Z16" i="12"/>
  <c r="AA16" i="12"/>
  <c r="AB16" i="12"/>
  <c r="AC16" i="12"/>
  <c r="AD16" i="12"/>
  <c r="Z17" i="12"/>
  <c r="AA17" i="12"/>
  <c r="AB17" i="12"/>
  <c r="AC17" i="12"/>
  <c r="AD17" i="12"/>
  <c r="Z18" i="12"/>
  <c r="AA18" i="12"/>
  <c r="AB18" i="12"/>
  <c r="AC18" i="12"/>
  <c r="AD18" i="12"/>
  <c r="Z19" i="12"/>
  <c r="AA19" i="12"/>
  <c r="AB19" i="12"/>
  <c r="AC19" i="12"/>
  <c r="AD19" i="12"/>
  <c r="Z20" i="12"/>
  <c r="AA20" i="12"/>
  <c r="AB20" i="12"/>
  <c r="AC20" i="12"/>
  <c r="AD20" i="12"/>
  <c r="Z21" i="12"/>
  <c r="AA21" i="12"/>
  <c r="AB21" i="12"/>
  <c r="AC21" i="12"/>
  <c r="AD21" i="12"/>
  <c r="Z22" i="12"/>
  <c r="AA22" i="12"/>
  <c r="AB22" i="12"/>
  <c r="AC22" i="12"/>
  <c r="AD22" i="12"/>
  <c r="Z23" i="12"/>
  <c r="AA23" i="12"/>
  <c r="AB23" i="12"/>
  <c r="AC23" i="12"/>
  <c r="AD23" i="12"/>
  <c r="Z24" i="12"/>
  <c r="AA24" i="12"/>
  <c r="AB24" i="12"/>
  <c r="AC24" i="12"/>
  <c r="AD24" i="12"/>
  <c r="Z25" i="12"/>
  <c r="AA25" i="12"/>
  <c r="AB25" i="12"/>
  <c r="AC25" i="12"/>
  <c r="AD25" i="12"/>
  <c r="Z26" i="12"/>
  <c r="AA26" i="12"/>
  <c r="AB26" i="12"/>
  <c r="AC26" i="12"/>
  <c r="AD26" i="12"/>
  <c r="Z27" i="12"/>
  <c r="AA27" i="12"/>
  <c r="AB27" i="12"/>
  <c r="AC27" i="12"/>
  <c r="AD27" i="12"/>
  <c r="AD6" i="12"/>
  <c r="AC6" i="12"/>
  <c r="AB6" i="12"/>
  <c r="AA6" i="12"/>
  <c r="Z6" i="12"/>
  <c r="Z7" i="8"/>
  <c r="AA7" i="8"/>
  <c r="AB7" i="8"/>
  <c r="AC7" i="8"/>
  <c r="AD7" i="8"/>
  <c r="Z8" i="8"/>
  <c r="AA8" i="8"/>
  <c r="AB8" i="8"/>
  <c r="AC8" i="8"/>
  <c r="AD8" i="8"/>
  <c r="Z9" i="8"/>
  <c r="AA9" i="8"/>
  <c r="AB9" i="8"/>
  <c r="AC9" i="8"/>
  <c r="AD9" i="8"/>
  <c r="Z10" i="8"/>
  <c r="AA10" i="8"/>
  <c r="AB10" i="8"/>
  <c r="AC10" i="8"/>
  <c r="AD10" i="8"/>
  <c r="Z11" i="8"/>
  <c r="AA11" i="8"/>
  <c r="AB11" i="8"/>
  <c r="AC11" i="8"/>
  <c r="AD11" i="8"/>
  <c r="Z12" i="8"/>
  <c r="AA12" i="8"/>
  <c r="AB12" i="8"/>
  <c r="AC12" i="8"/>
  <c r="AD12" i="8"/>
  <c r="Z13" i="8"/>
  <c r="AA13" i="8"/>
  <c r="AB13" i="8"/>
  <c r="AC13" i="8"/>
  <c r="AD13" i="8"/>
  <c r="Z14" i="8"/>
  <c r="AA14" i="8"/>
  <c r="AB14" i="8"/>
  <c r="AC14" i="8"/>
  <c r="AD14" i="8"/>
  <c r="Z15" i="8"/>
  <c r="AA15" i="8"/>
  <c r="AB15" i="8"/>
  <c r="AC15" i="8"/>
  <c r="AD15" i="8"/>
  <c r="Z16" i="8"/>
  <c r="AA16" i="8"/>
  <c r="AB16" i="8"/>
  <c r="AC16" i="8"/>
  <c r="AD16" i="8"/>
  <c r="Z17" i="8"/>
  <c r="AA17" i="8"/>
  <c r="AB17" i="8"/>
  <c r="AC17" i="8"/>
  <c r="AD17" i="8"/>
  <c r="Z18" i="8"/>
  <c r="AA18" i="8"/>
  <c r="AB18" i="8"/>
  <c r="AC18" i="8"/>
  <c r="AD18" i="8"/>
  <c r="Z19" i="8"/>
  <c r="AA19" i="8"/>
  <c r="AB19" i="8"/>
  <c r="AC19" i="8"/>
  <c r="AD19" i="8"/>
  <c r="Z20" i="8"/>
  <c r="AA20" i="8"/>
  <c r="AB20" i="8"/>
  <c r="AC20" i="8"/>
  <c r="AD20" i="8"/>
  <c r="Z21" i="8"/>
  <c r="AA21" i="8"/>
  <c r="AB21" i="8"/>
  <c r="AC21" i="8"/>
  <c r="AD21" i="8"/>
  <c r="Z22" i="8"/>
  <c r="AA22" i="8"/>
  <c r="AB22" i="8"/>
  <c r="AC22" i="8"/>
  <c r="AD22" i="8"/>
  <c r="Z23" i="8"/>
  <c r="AA23" i="8"/>
  <c r="AB23" i="8"/>
  <c r="AC23" i="8"/>
  <c r="AD23" i="8"/>
  <c r="Z24" i="8"/>
  <c r="AA24" i="8"/>
  <c r="AB24" i="8"/>
  <c r="AC24" i="8"/>
  <c r="AD24" i="8"/>
  <c r="Z25" i="8"/>
  <c r="AA25" i="8"/>
  <c r="AB25" i="8"/>
  <c r="AC25" i="8"/>
  <c r="AD25" i="8"/>
  <c r="Z26" i="8"/>
  <c r="AA26" i="8"/>
  <c r="AB26" i="8"/>
  <c r="AC26" i="8"/>
  <c r="AD26" i="8"/>
  <c r="Z27" i="8"/>
  <c r="AA27" i="8"/>
  <c r="AB27" i="8"/>
  <c r="AC27" i="8"/>
  <c r="AD27" i="8"/>
  <c r="AD6" i="8"/>
  <c r="AC6" i="8"/>
  <c r="AA6" i="8"/>
  <c r="Z6" i="8"/>
  <c r="Q50" i="11"/>
  <c r="Q26" i="11"/>
  <c r="M49" i="11" l="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N49" i="11" l="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L49" i="11" l="1"/>
  <c r="K49" i="11"/>
  <c r="J49" i="11"/>
  <c r="I49" i="11"/>
  <c r="L48" i="11"/>
  <c r="K48" i="11"/>
  <c r="J48" i="11"/>
  <c r="I48" i="11"/>
  <c r="L47" i="11"/>
  <c r="K47" i="11"/>
  <c r="J47" i="11"/>
  <c r="I47" i="11"/>
  <c r="L46" i="11"/>
  <c r="K46" i="11"/>
  <c r="J46" i="11"/>
  <c r="I46" i="11"/>
  <c r="L45" i="11"/>
  <c r="K45" i="11"/>
  <c r="J45" i="11"/>
  <c r="I45" i="11"/>
  <c r="L44" i="11"/>
  <c r="K44" i="11"/>
  <c r="J44" i="11"/>
  <c r="I44" i="11"/>
  <c r="L43" i="11"/>
  <c r="K43" i="11"/>
  <c r="J43" i="11"/>
  <c r="I43" i="11"/>
  <c r="L42" i="11"/>
  <c r="K42" i="11"/>
  <c r="J42" i="11"/>
  <c r="I42" i="11"/>
  <c r="L41" i="11"/>
  <c r="K41" i="11"/>
  <c r="J41" i="11"/>
  <c r="I41" i="11"/>
  <c r="L40" i="11"/>
  <c r="K40" i="11"/>
  <c r="J40" i="11"/>
  <c r="I40" i="11"/>
  <c r="L39" i="11"/>
  <c r="K39" i="11"/>
  <c r="J39" i="11"/>
  <c r="I39" i="11"/>
  <c r="L38" i="11"/>
  <c r="K38" i="11"/>
  <c r="J38" i="11"/>
  <c r="I38" i="11"/>
  <c r="L37" i="11"/>
  <c r="K37" i="11"/>
  <c r="J37" i="11"/>
  <c r="I37" i="11"/>
  <c r="L36" i="11"/>
  <c r="K36" i="11"/>
  <c r="J36" i="11"/>
  <c r="I36" i="11"/>
  <c r="L35" i="11"/>
  <c r="K35" i="11"/>
  <c r="J35" i="11"/>
  <c r="I35" i="11"/>
  <c r="L34" i="11"/>
  <c r="K34" i="11"/>
  <c r="J34" i="11"/>
  <c r="I34" i="11"/>
  <c r="L33" i="11"/>
  <c r="K33" i="11"/>
  <c r="J33" i="11"/>
  <c r="I33" i="11"/>
  <c r="L32" i="11"/>
  <c r="K32" i="11"/>
  <c r="J32" i="11"/>
  <c r="I32" i="11"/>
  <c r="L31" i="11"/>
  <c r="K31" i="11"/>
  <c r="J31" i="11"/>
  <c r="I31" i="11"/>
  <c r="L30" i="11"/>
  <c r="K30" i="11"/>
  <c r="J30" i="11"/>
  <c r="I30" i="11"/>
  <c r="L29" i="11"/>
  <c r="K29" i="11"/>
  <c r="J29" i="11"/>
  <c r="I29" i="11"/>
  <c r="L28" i="11"/>
  <c r="K28" i="11"/>
  <c r="J28" i="11"/>
  <c r="I28" i="11"/>
  <c r="L25" i="11"/>
  <c r="K25" i="11"/>
  <c r="J25" i="11"/>
  <c r="I25" i="11"/>
  <c r="L24" i="11"/>
  <c r="K24" i="11"/>
  <c r="J24" i="11"/>
  <c r="I24" i="11"/>
  <c r="L23" i="11"/>
  <c r="K23" i="11"/>
  <c r="J23" i="11"/>
  <c r="I23" i="11"/>
  <c r="L22" i="11"/>
  <c r="K22" i="11"/>
  <c r="J22" i="11"/>
  <c r="I22" i="11"/>
  <c r="L21" i="11"/>
  <c r="K21" i="11"/>
  <c r="J21" i="11"/>
  <c r="I21" i="11"/>
  <c r="L20" i="11"/>
  <c r="K20" i="11"/>
  <c r="J20" i="11"/>
  <c r="I20" i="11"/>
  <c r="L19" i="11"/>
  <c r="K19" i="11"/>
  <c r="J19" i="11"/>
  <c r="I19" i="11"/>
  <c r="L18" i="11"/>
  <c r="K18" i="11"/>
  <c r="J18" i="11"/>
  <c r="I18" i="11"/>
  <c r="L17" i="11"/>
  <c r="K17" i="11"/>
  <c r="J17" i="11"/>
  <c r="I17" i="11"/>
  <c r="L16" i="11"/>
  <c r="K16" i="11"/>
  <c r="J16" i="11"/>
  <c r="I16" i="11"/>
  <c r="L15" i="11"/>
  <c r="K15" i="11"/>
  <c r="J15" i="11"/>
  <c r="I15" i="11"/>
  <c r="L14" i="11"/>
  <c r="K14" i="11"/>
  <c r="J14" i="11"/>
  <c r="I14" i="11"/>
  <c r="L13" i="11"/>
  <c r="K13" i="11"/>
  <c r="J13" i="11"/>
  <c r="I13" i="11"/>
  <c r="L12" i="11"/>
  <c r="K12" i="11"/>
  <c r="J12" i="11"/>
  <c r="I12" i="11"/>
  <c r="L11" i="11"/>
  <c r="K11" i="11"/>
  <c r="J11" i="11"/>
  <c r="I11" i="11"/>
  <c r="L10" i="11"/>
  <c r="K10" i="11"/>
  <c r="J10" i="11"/>
  <c r="I10" i="11"/>
  <c r="L9" i="11"/>
  <c r="K9" i="11"/>
  <c r="J9" i="11"/>
  <c r="I9" i="11"/>
  <c r="L8" i="11"/>
  <c r="K8" i="11"/>
  <c r="J8" i="11"/>
  <c r="I8" i="11"/>
  <c r="L7" i="11"/>
  <c r="K7" i="11"/>
  <c r="J7" i="11"/>
  <c r="I7" i="11"/>
  <c r="L6" i="11"/>
  <c r="K6" i="11"/>
  <c r="J6" i="11"/>
  <c r="I6" i="11"/>
  <c r="L5" i="11"/>
  <c r="K5" i="11"/>
  <c r="J5" i="11"/>
  <c r="I5" i="11"/>
  <c r="L4" i="11"/>
  <c r="K4" i="11"/>
  <c r="J4" i="11"/>
  <c r="I4" i="11"/>
  <c r="R50" i="11" l="1"/>
  <c r="N50" i="11"/>
  <c r="P50" i="11"/>
  <c r="O50" i="11"/>
  <c r="M50" i="11"/>
  <c r="L50" i="11"/>
  <c r="K50" i="11"/>
  <c r="J50" i="11"/>
  <c r="I50" i="11"/>
  <c r="X27" i="12"/>
  <c r="W27" i="12"/>
  <c r="V27" i="12"/>
  <c r="U27" i="12"/>
  <c r="T27" i="12"/>
  <c r="S27" i="12"/>
  <c r="R27" i="12"/>
  <c r="Q27" i="12"/>
  <c r="P27" i="12"/>
  <c r="O27" i="12"/>
  <c r="X26" i="12"/>
  <c r="W26" i="12"/>
  <c r="V26" i="12"/>
  <c r="U26" i="12"/>
  <c r="T26" i="12"/>
  <c r="S26" i="12"/>
  <c r="R26" i="12"/>
  <c r="Q26" i="12"/>
  <c r="P26" i="12"/>
  <c r="O26" i="12"/>
  <c r="X25" i="12"/>
  <c r="W25" i="12"/>
  <c r="V25" i="12"/>
  <c r="U25" i="12"/>
  <c r="T25" i="12"/>
  <c r="S25" i="12"/>
  <c r="R25" i="12"/>
  <c r="Q25" i="12"/>
  <c r="P25" i="12"/>
  <c r="O25" i="12"/>
  <c r="X24" i="12"/>
  <c r="W24" i="12"/>
  <c r="V24" i="12"/>
  <c r="U24" i="12"/>
  <c r="T24" i="12"/>
  <c r="S24" i="12"/>
  <c r="R24" i="12"/>
  <c r="Q24" i="12"/>
  <c r="P24" i="12"/>
  <c r="O24" i="12"/>
  <c r="X23" i="12"/>
  <c r="W23" i="12"/>
  <c r="V23" i="12"/>
  <c r="U23" i="12"/>
  <c r="T23" i="12"/>
  <c r="S23" i="12"/>
  <c r="R23" i="12"/>
  <c r="Q23" i="12"/>
  <c r="P23" i="12"/>
  <c r="O23" i="12"/>
  <c r="X22" i="12"/>
  <c r="W22" i="12"/>
  <c r="V22" i="12"/>
  <c r="U22" i="12"/>
  <c r="T22" i="12"/>
  <c r="S22" i="12"/>
  <c r="R22" i="12"/>
  <c r="Q22" i="12"/>
  <c r="P22" i="12"/>
  <c r="O22" i="12"/>
  <c r="X21" i="12"/>
  <c r="W21" i="12"/>
  <c r="V21" i="12"/>
  <c r="U21" i="12"/>
  <c r="T21" i="12"/>
  <c r="S21" i="12"/>
  <c r="R21" i="12"/>
  <c r="Q21" i="12"/>
  <c r="P21" i="12"/>
  <c r="O21" i="12"/>
  <c r="X20" i="12"/>
  <c r="W20" i="12"/>
  <c r="V20" i="12"/>
  <c r="U20" i="12"/>
  <c r="T20" i="12"/>
  <c r="S20" i="12"/>
  <c r="R20" i="12"/>
  <c r="Q20" i="12"/>
  <c r="P20" i="12"/>
  <c r="O20" i="12"/>
  <c r="X19" i="12"/>
  <c r="W19" i="12"/>
  <c r="V19" i="12"/>
  <c r="U19" i="12"/>
  <c r="T19" i="12"/>
  <c r="S19" i="12"/>
  <c r="R19" i="12"/>
  <c r="Q19" i="12"/>
  <c r="P19" i="12"/>
  <c r="O19" i="12"/>
  <c r="X18" i="12"/>
  <c r="W18" i="12"/>
  <c r="V18" i="12"/>
  <c r="U18" i="12"/>
  <c r="T18" i="12"/>
  <c r="S18" i="12"/>
  <c r="R18" i="12"/>
  <c r="Q18" i="12"/>
  <c r="P18" i="12"/>
  <c r="O18" i="12"/>
  <c r="X17" i="12"/>
  <c r="W17" i="12"/>
  <c r="V17" i="12"/>
  <c r="U17" i="12"/>
  <c r="T17" i="12"/>
  <c r="S17" i="12"/>
  <c r="R17" i="12"/>
  <c r="Q17" i="12"/>
  <c r="P17" i="12"/>
  <c r="O17" i="12"/>
  <c r="X16" i="12"/>
  <c r="W16" i="12"/>
  <c r="V16" i="12"/>
  <c r="U16" i="12"/>
  <c r="T16" i="12"/>
  <c r="S16" i="12"/>
  <c r="R16" i="12"/>
  <c r="Q16" i="12"/>
  <c r="P16" i="12"/>
  <c r="O16" i="12"/>
  <c r="X15" i="12"/>
  <c r="W15" i="12"/>
  <c r="V15" i="12"/>
  <c r="U15" i="12"/>
  <c r="T15" i="12"/>
  <c r="S15" i="12"/>
  <c r="R15" i="12"/>
  <c r="Q15" i="12"/>
  <c r="P15" i="12"/>
  <c r="O15" i="12"/>
  <c r="X14" i="12"/>
  <c r="W14" i="12"/>
  <c r="V14" i="12"/>
  <c r="U14" i="12"/>
  <c r="T14" i="12"/>
  <c r="S14" i="12"/>
  <c r="R14" i="12"/>
  <c r="Q14" i="12"/>
  <c r="P14" i="12"/>
  <c r="O14" i="12"/>
  <c r="X13" i="12"/>
  <c r="W13" i="12"/>
  <c r="V13" i="12"/>
  <c r="U13" i="12"/>
  <c r="T13" i="12"/>
  <c r="S13" i="12"/>
  <c r="R13" i="12"/>
  <c r="Q13" i="12"/>
  <c r="P13" i="12"/>
  <c r="O13" i="12"/>
  <c r="X12" i="12"/>
  <c r="W12" i="12"/>
  <c r="V12" i="12"/>
  <c r="U12" i="12"/>
  <c r="T12" i="12"/>
  <c r="S12" i="12"/>
  <c r="R12" i="12"/>
  <c r="Q12" i="12"/>
  <c r="P12" i="12"/>
  <c r="O12" i="12"/>
  <c r="X11" i="12"/>
  <c r="W11" i="12"/>
  <c r="V11" i="12"/>
  <c r="U11" i="12"/>
  <c r="T11" i="12"/>
  <c r="S11" i="12"/>
  <c r="R11" i="12"/>
  <c r="Q11" i="12"/>
  <c r="P11" i="12"/>
  <c r="O11" i="12"/>
  <c r="X10" i="12"/>
  <c r="W10" i="12"/>
  <c r="V10" i="12"/>
  <c r="U10" i="12"/>
  <c r="T10" i="12"/>
  <c r="S10" i="12"/>
  <c r="R10" i="12"/>
  <c r="Q10" i="12"/>
  <c r="P10" i="12"/>
  <c r="O10" i="12"/>
  <c r="X9" i="12"/>
  <c r="W9" i="12"/>
  <c r="V9" i="12"/>
  <c r="U9" i="12"/>
  <c r="T9" i="12"/>
  <c r="S9" i="12"/>
  <c r="R9" i="12"/>
  <c r="Q9" i="12"/>
  <c r="P9" i="12"/>
  <c r="O9" i="12"/>
  <c r="X8" i="12"/>
  <c r="W8" i="12"/>
  <c r="V8" i="12"/>
  <c r="U8" i="12"/>
  <c r="T8" i="12"/>
  <c r="S8" i="12"/>
  <c r="R8" i="12"/>
  <c r="Q8" i="12"/>
  <c r="P8" i="12"/>
  <c r="O8" i="12"/>
  <c r="X7" i="12"/>
  <c r="W7" i="12"/>
  <c r="V7" i="12"/>
  <c r="U7" i="12"/>
  <c r="T7" i="12"/>
  <c r="S7" i="12"/>
  <c r="R7" i="12"/>
  <c r="Q7" i="12"/>
  <c r="P7" i="12"/>
  <c r="O7" i="12"/>
  <c r="X6" i="12"/>
  <c r="W6" i="12"/>
  <c r="V6" i="12"/>
  <c r="U6" i="12"/>
  <c r="T6" i="12"/>
  <c r="S6" i="12"/>
  <c r="R6" i="12"/>
  <c r="Q6" i="12"/>
  <c r="P6" i="12"/>
  <c r="O6" i="12"/>
  <c r="E2" i="12"/>
  <c r="AE29" i="12"/>
  <c r="AE31" i="12" s="1"/>
  <c r="E29" i="12"/>
  <c r="D29" i="12"/>
  <c r="AG27" i="12"/>
  <c r="AF27" i="12"/>
  <c r="AG26" i="12"/>
  <c r="AF26" i="12"/>
  <c r="AG25" i="12"/>
  <c r="AF25" i="12"/>
  <c r="AG24" i="12"/>
  <c r="AF24" i="12"/>
  <c r="AG23" i="12"/>
  <c r="AF23" i="12"/>
  <c r="AG22" i="12"/>
  <c r="AF22" i="12"/>
  <c r="AG21" i="12"/>
  <c r="AF21" i="12"/>
  <c r="AG20" i="12"/>
  <c r="AF20" i="12"/>
  <c r="AG19" i="12"/>
  <c r="AF19" i="12"/>
  <c r="AG18" i="12"/>
  <c r="AF18" i="12"/>
  <c r="AG17" i="12"/>
  <c r="AF17" i="12"/>
  <c r="AG16" i="12"/>
  <c r="AF16" i="12"/>
  <c r="AG15" i="12"/>
  <c r="AF15" i="12"/>
  <c r="AG14" i="12"/>
  <c r="AF14" i="12"/>
  <c r="AG13" i="12"/>
  <c r="AF13" i="12"/>
  <c r="AG12" i="12"/>
  <c r="AF12" i="12"/>
  <c r="AG11" i="12"/>
  <c r="AF11" i="12"/>
  <c r="AG10" i="12"/>
  <c r="AF10" i="12"/>
  <c r="AG9" i="12"/>
  <c r="AF9" i="12"/>
  <c r="AG8" i="12"/>
  <c r="AF8" i="12"/>
  <c r="AG7" i="12"/>
  <c r="AF7" i="12"/>
  <c r="AG6" i="12"/>
  <c r="AF6" i="12"/>
  <c r="V29" i="12" l="1"/>
  <c r="V31" i="12" s="1"/>
  <c r="T29" i="12"/>
  <c r="T31" i="12" s="1"/>
  <c r="Q29" i="12"/>
  <c r="O29" i="12"/>
  <c r="O31" i="12" s="1"/>
  <c r="W29" i="12"/>
  <c r="W31" i="12" s="1"/>
  <c r="R29" i="12"/>
  <c r="R31" i="12" s="1"/>
  <c r="X29" i="12"/>
  <c r="X31" i="12" s="1"/>
  <c r="P29" i="12"/>
  <c r="P31" i="12" s="1"/>
  <c r="S29" i="12"/>
  <c r="S31" i="12" s="1"/>
  <c r="U29" i="12"/>
  <c r="U31" i="12" s="1"/>
  <c r="Q31" i="12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6" i="8"/>
  <c r="R26" i="11"/>
  <c r="N26" i="11"/>
  <c r="P26" i="11"/>
  <c r="O26" i="11"/>
  <c r="M26" i="11"/>
  <c r="L26" i="11"/>
  <c r="K26" i="11"/>
  <c r="J26" i="11"/>
  <c r="I26" i="11"/>
  <c r="X27" i="8" l="1"/>
  <c r="W27" i="8"/>
  <c r="V27" i="8"/>
  <c r="U27" i="8"/>
  <c r="T27" i="8"/>
  <c r="S27" i="8"/>
  <c r="R27" i="8"/>
  <c r="Q27" i="8"/>
  <c r="P27" i="8"/>
  <c r="O27" i="8"/>
  <c r="X26" i="8"/>
  <c r="W26" i="8"/>
  <c r="V26" i="8"/>
  <c r="U26" i="8"/>
  <c r="T26" i="8"/>
  <c r="S26" i="8"/>
  <c r="R26" i="8"/>
  <c r="Q26" i="8"/>
  <c r="P26" i="8"/>
  <c r="O26" i="8"/>
  <c r="X25" i="8"/>
  <c r="W25" i="8"/>
  <c r="V25" i="8"/>
  <c r="U25" i="8"/>
  <c r="T25" i="8"/>
  <c r="S25" i="8"/>
  <c r="R25" i="8"/>
  <c r="Q25" i="8"/>
  <c r="P25" i="8"/>
  <c r="O25" i="8"/>
  <c r="X24" i="8"/>
  <c r="W24" i="8"/>
  <c r="V24" i="8"/>
  <c r="U24" i="8"/>
  <c r="T24" i="8"/>
  <c r="S24" i="8"/>
  <c r="R24" i="8"/>
  <c r="Q24" i="8"/>
  <c r="P24" i="8"/>
  <c r="O24" i="8"/>
  <c r="X23" i="8"/>
  <c r="W23" i="8"/>
  <c r="V23" i="8"/>
  <c r="U23" i="8"/>
  <c r="T23" i="8"/>
  <c r="S23" i="8"/>
  <c r="R23" i="8"/>
  <c r="Q23" i="8"/>
  <c r="P23" i="8"/>
  <c r="O23" i="8"/>
  <c r="X22" i="8"/>
  <c r="W22" i="8"/>
  <c r="V22" i="8"/>
  <c r="U22" i="8"/>
  <c r="T22" i="8"/>
  <c r="S22" i="8"/>
  <c r="R22" i="8"/>
  <c r="Q22" i="8"/>
  <c r="P22" i="8"/>
  <c r="O22" i="8"/>
  <c r="X21" i="8"/>
  <c r="W21" i="8"/>
  <c r="V21" i="8"/>
  <c r="U21" i="8"/>
  <c r="T21" i="8"/>
  <c r="S21" i="8"/>
  <c r="R21" i="8"/>
  <c r="Q21" i="8"/>
  <c r="P21" i="8"/>
  <c r="O21" i="8"/>
  <c r="X20" i="8"/>
  <c r="W20" i="8"/>
  <c r="V20" i="8"/>
  <c r="U20" i="8"/>
  <c r="T20" i="8"/>
  <c r="S20" i="8"/>
  <c r="R20" i="8"/>
  <c r="Q20" i="8"/>
  <c r="P20" i="8"/>
  <c r="O20" i="8"/>
  <c r="X19" i="8"/>
  <c r="W19" i="8"/>
  <c r="V19" i="8"/>
  <c r="U19" i="8"/>
  <c r="T19" i="8"/>
  <c r="S19" i="8"/>
  <c r="R19" i="8"/>
  <c r="Q19" i="8"/>
  <c r="P19" i="8"/>
  <c r="O19" i="8"/>
  <c r="X18" i="8"/>
  <c r="W18" i="8"/>
  <c r="V18" i="8"/>
  <c r="U18" i="8"/>
  <c r="T18" i="8"/>
  <c r="S18" i="8"/>
  <c r="R18" i="8"/>
  <c r="Q18" i="8"/>
  <c r="P18" i="8"/>
  <c r="O18" i="8"/>
  <c r="X17" i="8"/>
  <c r="W17" i="8"/>
  <c r="V17" i="8"/>
  <c r="U17" i="8"/>
  <c r="T17" i="8"/>
  <c r="S17" i="8"/>
  <c r="R17" i="8"/>
  <c r="Q17" i="8"/>
  <c r="P17" i="8"/>
  <c r="O17" i="8"/>
  <c r="X16" i="8"/>
  <c r="W16" i="8"/>
  <c r="V16" i="8"/>
  <c r="U16" i="8"/>
  <c r="T16" i="8"/>
  <c r="S16" i="8"/>
  <c r="R16" i="8"/>
  <c r="Q16" i="8"/>
  <c r="P16" i="8"/>
  <c r="O16" i="8"/>
  <c r="X15" i="8"/>
  <c r="W15" i="8"/>
  <c r="V15" i="8"/>
  <c r="U15" i="8"/>
  <c r="T15" i="8"/>
  <c r="S15" i="8"/>
  <c r="R15" i="8"/>
  <c r="Q15" i="8"/>
  <c r="P15" i="8"/>
  <c r="O15" i="8"/>
  <c r="X14" i="8"/>
  <c r="W14" i="8"/>
  <c r="V14" i="8"/>
  <c r="U14" i="8"/>
  <c r="T14" i="8"/>
  <c r="S14" i="8"/>
  <c r="R14" i="8"/>
  <c r="Q14" i="8"/>
  <c r="P14" i="8"/>
  <c r="O14" i="8"/>
  <c r="X13" i="8"/>
  <c r="W13" i="8"/>
  <c r="V13" i="8"/>
  <c r="U13" i="8"/>
  <c r="T13" i="8"/>
  <c r="S13" i="8"/>
  <c r="R13" i="8"/>
  <c r="Q13" i="8"/>
  <c r="P13" i="8"/>
  <c r="O13" i="8"/>
  <c r="X12" i="8"/>
  <c r="W12" i="8"/>
  <c r="V12" i="8"/>
  <c r="U12" i="8"/>
  <c r="T12" i="8"/>
  <c r="S12" i="8"/>
  <c r="R12" i="8"/>
  <c r="Q12" i="8"/>
  <c r="P12" i="8"/>
  <c r="O12" i="8"/>
  <c r="X11" i="8"/>
  <c r="W11" i="8"/>
  <c r="V11" i="8"/>
  <c r="U11" i="8"/>
  <c r="T11" i="8"/>
  <c r="S11" i="8"/>
  <c r="R11" i="8"/>
  <c r="Q11" i="8"/>
  <c r="P11" i="8"/>
  <c r="O11" i="8"/>
  <c r="X10" i="8"/>
  <c r="W10" i="8"/>
  <c r="V10" i="8"/>
  <c r="U10" i="8"/>
  <c r="T10" i="8"/>
  <c r="S10" i="8"/>
  <c r="R10" i="8"/>
  <c r="Q10" i="8"/>
  <c r="P10" i="8"/>
  <c r="O10" i="8"/>
  <c r="X9" i="8"/>
  <c r="W9" i="8"/>
  <c r="V9" i="8"/>
  <c r="U9" i="8"/>
  <c r="T9" i="8"/>
  <c r="S9" i="8"/>
  <c r="R9" i="8"/>
  <c r="Q9" i="8"/>
  <c r="P9" i="8"/>
  <c r="O9" i="8"/>
  <c r="X8" i="8"/>
  <c r="W8" i="8"/>
  <c r="V8" i="8"/>
  <c r="U8" i="8"/>
  <c r="T8" i="8"/>
  <c r="S8" i="8"/>
  <c r="R8" i="8"/>
  <c r="Q8" i="8"/>
  <c r="P8" i="8"/>
  <c r="O8" i="8"/>
  <c r="X7" i="8"/>
  <c r="W7" i="8"/>
  <c r="V7" i="8"/>
  <c r="U7" i="8"/>
  <c r="T7" i="8"/>
  <c r="S7" i="8"/>
  <c r="R7" i="8"/>
  <c r="Q7" i="8"/>
  <c r="P7" i="8"/>
  <c r="O7" i="8"/>
  <c r="X6" i="8"/>
  <c r="W6" i="8"/>
  <c r="V6" i="8"/>
  <c r="U6" i="8"/>
  <c r="T6" i="8"/>
  <c r="S6" i="8"/>
  <c r="R6" i="8"/>
  <c r="Q6" i="8"/>
  <c r="P6" i="8"/>
  <c r="O6" i="8"/>
  <c r="R2" i="11"/>
  <c r="J2" i="11"/>
  <c r="K2" i="11" s="1"/>
  <c r="L2" i="11" s="1"/>
  <c r="M2" i="11" s="1"/>
  <c r="N2" i="11" s="1"/>
  <c r="O2" i="11" s="1"/>
  <c r="P2" i="11" s="1"/>
  <c r="Q2" i="11" s="1"/>
  <c r="I2" i="11"/>
  <c r="D29" i="11"/>
  <c r="J7" i="12" s="1"/>
  <c r="E29" i="11"/>
  <c r="K7" i="12" s="1"/>
  <c r="F29" i="11"/>
  <c r="L7" i="12" s="1"/>
  <c r="G29" i="11"/>
  <c r="H29" i="11"/>
  <c r="N7" i="12" s="1"/>
  <c r="D30" i="11"/>
  <c r="J8" i="12" s="1"/>
  <c r="E30" i="11"/>
  <c r="K8" i="12" s="1"/>
  <c r="F30" i="11"/>
  <c r="L8" i="12" s="1"/>
  <c r="G30" i="11"/>
  <c r="M8" i="12" s="1"/>
  <c r="H30" i="11"/>
  <c r="N8" i="12" s="1"/>
  <c r="D31" i="11"/>
  <c r="J9" i="12" s="1"/>
  <c r="E31" i="11"/>
  <c r="K9" i="12" s="1"/>
  <c r="F31" i="11"/>
  <c r="L9" i="12" s="1"/>
  <c r="G31" i="11"/>
  <c r="M9" i="12" s="1"/>
  <c r="H31" i="11"/>
  <c r="N9" i="12" s="1"/>
  <c r="D32" i="11"/>
  <c r="J10" i="12" s="1"/>
  <c r="E32" i="11"/>
  <c r="K10" i="12" s="1"/>
  <c r="F32" i="11"/>
  <c r="L10" i="12" s="1"/>
  <c r="G32" i="11"/>
  <c r="M10" i="12" s="1"/>
  <c r="H32" i="11"/>
  <c r="N10" i="12" s="1"/>
  <c r="D33" i="11"/>
  <c r="J11" i="12" s="1"/>
  <c r="E33" i="11"/>
  <c r="K11" i="12" s="1"/>
  <c r="F33" i="11"/>
  <c r="L11" i="12" s="1"/>
  <c r="G33" i="11"/>
  <c r="M11" i="12" s="1"/>
  <c r="H33" i="11"/>
  <c r="N11" i="12" s="1"/>
  <c r="D34" i="11"/>
  <c r="J12" i="12" s="1"/>
  <c r="E34" i="11"/>
  <c r="K12" i="12" s="1"/>
  <c r="F34" i="11"/>
  <c r="L12" i="12" s="1"/>
  <c r="G34" i="11"/>
  <c r="M12" i="12" s="1"/>
  <c r="H34" i="11"/>
  <c r="N12" i="12" s="1"/>
  <c r="D35" i="11"/>
  <c r="J13" i="12" s="1"/>
  <c r="E35" i="11"/>
  <c r="K13" i="12" s="1"/>
  <c r="F35" i="11"/>
  <c r="L13" i="12" s="1"/>
  <c r="G35" i="11"/>
  <c r="M13" i="12" s="1"/>
  <c r="H35" i="11"/>
  <c r="N13" i="12" s="1"/>
  <c r="D36" i="11"/>
  <c r="J14" i="12" s="1"/>
  <c r="E36" i="11"/>
  <c r="K14" i="12" s="1"/>
  <c r="F36" i="11"/>
  <c r="L14" i="12" s="1"/>
  <c r="G36" i="11"/>
  <c r="M14" i="12" s="1"/>
  <c r="H36" i="11"/>
  <c r="N14" i="12" s="1"/>
  <c r="D37" i="11"/>
  <c r="J15" i="12" s="1"/>
  <c r="E37" i="11"/>
  <c r="K15" i="12" s="1"/>
  <c r="F37" i="11"/>
  <c r="L15" i="12" s="1"/>
  <c r="G37" i="11"/>
  <c r="M15" i="12" s="1"/>
  <c r="H37" i="11"/>
  <c r="N15" i="12" s="1"/>
  <c r="D38" i="11"/>
  <c r="J16" i="12" s="1"/>
  <c r="E38" i="11"/>
  <c r="K16" i="12" s="1"/>
  <c r="F38" i="11"/>
  <c r="L16" i="12" s="1"/>
  <c r="G38" i="11"/>
  <c r="M16" i="12" s="1"/>
  <c r="H38" i="11"/>
  <c r="N16" i="12" s="1"/>
  <c r="D39" i="11"/>
  <c r="J17" i="12" s="1"/>
  <c r="E39" i="11"/>
  <c r="K17" i="12" s="1"/>
  <c r="F39" i="11"/>
  <c r="L17" i="12" s="1"/>
  <c r="G39" i="11"/>
  <c r="M17" i="12" s="1"/>
  <c r="H39" i="11"/>
  <c r="N17" i="12" s="1"/>
  <c r="D40" i="11"/>
  <c r="J18" i="12" s="1"/>
  <c r="E40" i="11"/>
  <c r="K18" i="12" s="1"/>
  <c r="F40" i="11"/>
  <c r="L18" i="12" s="1"/>
  <c r="G40" i="11"/>
  <c r="M18" i="12" s="1"/>
  <c r="H40" i="11"/>
  <c r="N18" i="12" s="1"/>
  <c r="D41" i="11"/>
  <c r="J19" i="12" s="1"/>
  <c r="E41" i="11"/>
  <c r="K19" i="12" s="1"/>
  <c r="F41" i="11"/>
  <c r="L19" i="12" s="1"/>
  <c r="G41" i="11"/>
  <c r="M19" i="12" s="1"/>
  <c r="H41" i="11"/>
  <c r="N19" i="12" s="1"/>
  <c r="D42" i="11"/>
  <c r="J20" i="12" s="1"/>
  <c r="E42" i="11"/>
  <c r="K20" i="12" s="1"/>
  <c r="F42" i="11"/>
  <c r="L20" i="12" s="1"/>
  <c r="G42" i="11"/>
  <c r="M20" i="12" s="1"/>
  <c r="H42" i="11"/>
  <c r="N20" i="12" s="1"/>
  <c r="D43" i="11"/>
  <c r="J21" i="12" s="1"/>
  <c r="E43" i="11"/>
  <c r="K21" i="12" s="1"/>
  <c r="F43" i="11"/>
  <c r="L21" i="12" s="1"/>
  <c r="G43" i="11"/>
  <c r="M21" i="12" s="1"/>
  <c r="H43" i="11"/>
  <c r="N21" i="12" s="1"/>
  <c r="D44" i="11"/>
  <c r="J22" i="12" s="1"/>
  <c r="E44" i="11"/>
  <c r="K22" i="12" s="1"/>
  <c r="F44" i="11"/>
  <c r="L22" i="12" s="1"/>
  <c r="G44" i="11"/>
  <c r="M22" i="12" s="1"/>
  <c r="H44" i="11"/>
  <c r="N22" i="12" s="1"/>
  <c r="D45" i="11"/>
  <c r="J23" i="12" s="1"/>
  <c r="E45" i="11"/>
  <c r="K23" i="12" s="1"/>
  <c r="F45" i="11"/>
  <c r="L23" i="12" s="1"/>
  <c r="G45" i="11"/>
  <c r="M23" i="12" s="1"/>
  <c r="H45" i="11"/>
  <c r="N23" i="12" s="1"/>
  <c r="D46" i="11"/>
  <c r="J24" i="12" s="1"/>
  <c r="E46" i="11"/>
  <c r="K24" i="12" s="1"/>
  <c r="F46" i="11"/>
  <c r="L24" i="12" s="1"/>
  <c r="G46" i="11"/>
  <c r="M24" i="12" s="1"/>
  <c r="H46" i="11"/>
  <c r="N24" i="12" s="1"/>
  <c r="D47" i="11"/>
  <c r="J25" i="12" s="1"/>
  <c r="E47" i="11"/>
  <c r="K25" i="12" s="1"/>
  <c r="F47" i="11"/>
  <c r="L25" i="12" s="1"/>
  <c r="G47" i="11"/>
  <c r="M25" i="12" s="1"/>
  <c r="H47" i="11"/>
  <c r="N25" i="12" s="1"/>
  <c r="D48" i="11"/>
  <c r="J26" i="12" s="1"/>
  <c r="E48" i="11"/>
  <c r="K26" i="12" s="1"/>
  <c r="F48" i="11"/>
  <c r="L26" i="12" s="1"/>
  <c r="G48" i="11"/>
  <c r="M26" i="12" s="1"/>
  <c r="H48" i="11"/>
  <c r="N26" i="12" s="1"/>
  <c r="D49" i="11"/>
  <c r="J27" i="12" s="1"/>
  <c r="E49" i="11"/>
  <c r="K27" i="12" s="1"/>
  <c r="F49" i="11"/>
  <c r="L27" i="12" s="1"/>
  <c r="G49" i="11"/>
  <c r="M27" i="12" s="1"/>
  <c r="H49" i="11"/>
  <c r="N27" i="12" s="1"/>
  <c r="D5" i="11"/>
  <c r="J7" i="8" s="1"/>
  <c r="E5" i="11"/>
  <c r="K7" i="8" s="1"/>
  <c r="F5" i="11"/>
  <c r="L7" i="8" s="1"/>
  <c r="G5" i="11"/>
  <c r="M7" i="8" s="1"/>
  <c r="H5" i="11"/>
  <c r="N7" i="8" s="1"/>
  <c r="D6" i="11"/>
  <c r="J8" i="8" s="1"/>
  <c r="E6" i="11"/>
  <c r="K8" i="8" s="1"/>
  <c r="F6" i="11"/>
  <c r="L8" i="8" s="1"/>
  <c r="G6" i="11"/>
  <c r="M8" i="8" s="1"/>
  <c r="H6" i="11"/>
  <c r="N8" i="8" s="1"/>
  <c r="D7" i="11"/>
  <c r="J9" i="8" s="1"/>
  <c r="E7" i="11"/>
  <c r="K9" i="8" s="1"/>
  <c r="F7" i="11"/>
  <c r="L9" i="8" s="1"/>
  <c r="G7" i="11"/>
  <c r="M9" i="8" s="1"/>
  <c r="H7" i="11"/>
  <c r="N9" i="8" s="1"/>
  <c r="D8" i="11"/>
  <c r="J10" i="8" s="1"/>
  <c r="E8" i="11"/>
  <c r="K10" i="8" s="1"/>
  <c r="F8" i="11"/>
  <c r="L10" i="8" s="1"/>
  <c r="G8" i="11"/>
  <c r="M10" i="8" s="1"/>
  <c r="H8" i="11"/>
  <c r="N10" i="8" s="1"/>
  <c r="D9" i="11"/>
  <c r="J11" i="8" s="1"/>
  <c r="E9" i="11"/>
  <c r="K11" i="8" s="1"/>
  <c r="F9" i="11"/>
  <c r="L11" i="8" s="1"/>
  <c r="G9" i="11"/>
  <c r="M11" i="8" s="1"/>
  <c r="H9" i="11"/>
  <c r="N11" i="8" s="1"/>
  <c r="D10" i="11"/>
  <c r="J12" i="8" s="1"/>
  <c r="E10" i="11"/>
  <c r="K12" i="8" s="1"/>
  <c r="F10" i="11"/>
  <c r="L12" i="8" s="1"/>
  <c r="G10" i="11"/>
  <c r="M12" i="8" s="1"/>
  <c r="H10" i="11"/>
  <c r="N12" i="8" s="1"/>
  <c r="D11" i="11"/>
  <c r="J13" i="8" s="1"/>
  <c r="E11" i="11"/>
  <c r="K13" i="8" s="1"/>
  <c r="F11" i="11"/>
  <c r="L13" i="8" s="1"/>
  <c r="G11" i="11"/>
  <c r="M13" i="8" s="1"/>
  <c r="H11" i="11"/>
  <c r="N13" i="8" s="1"/>
  <c r="D12" i="11"/>
  <c r="J14" i="8" s="1"/>
  <c r="E12" i="11"/>
  <c r="K14" i="8" s="1"/>
  <c r="F12" i="11"/>
  <c r="L14" i="8" s="1"/>
  <c r="G12" i="11"/>
  <c r="M14" i="8" s="1"/>
  <c r="H12" i="11"/>
  <c r="N14" i="8" s="1"/>
  <c r="D13" i="11"/>
  <c r="J15" i="8" s="1"/>
  <c r="E13" i="11"/>
  <c r="K15" i="8" s="1"/>
  <c r="F13" i="11"/>
  <c r="L15" i="8" s="1"/>
  <c r="G13" i="11"/>
  <c r="M15" i="8" s="1"/>
  <c r="H13" i="11"/>
  <c r="N15" i="8" s="1"/>
  <c r="D14" i="11"/>
  <c r="J16" i="8" s="1"/>
  <c r="E14" i="11"/>
  <c r="K16" i="8" s="1"/>
  <c r="F14" i="11"/>
  <c r="L16" i="8" s="1"/>
  <c r="G14" i="11"/>
  <c r="M16" i="8" s="1"/>
  <c r="H14" i="11"/>
  <c r="N16" i="8" s="1"/>
  <c r="D15" i="11"/>
  <c r="J17" i="8" s="1"/>
  <c r="E15" i="11"/>
  <c r="K17" i="8" s="1"/>
  <c r="F15" i="11"/>
  <c r="L17" i="8" s="1"/>
  <c r="G15" i="11"/>
  <c r="M17" i="8" s="1"/>
  <c r="H15" i="11"/>
  <c r="N17" i="8" s="1"/>
  <c r="D16" i="11"/>
  <c r="J18" i="8" s="1"/>
  <c r="E16" i="11"/>
  <c r="K18" i="8" s="1"/>
  <c r="F16" i="11"/>
  <c r="L18" i="8" s="1"/>
  <c r="G16" i="11"/>
  <c r="M18" i="8" s="1"/>
  <c r="H16" i="11"/>
  <c r="N18" i="8" s="1"/>
  <c r="D17" i="11"/>
  <c r="J19" i="8" s="1"/>
  <c r="E17" i="11"/>
  <c r="K19" i="8" s="1"/>
  <c r="F17" i="11"/>
  <c r="L19" i="8" s="1"/>
  <c r="G17" i="11"/>
  <c r="M19" i="8" s="1"/>
  <c r="H17" i="11"/>
  <c r="N19" i="8" s="1"/>
  <c r="D18" i="11"/>
  <c r="J20" i="8" s="1"/>
  <c r="E18" i="11"/>
  <c r="K20" i="8" s="1"/>
  <c r="F18" i="11"/>
  <c r="L20" i="8" s="1"/>
  <c r="G18" i="11"/>
  <c r="M20" i="8" s="1"/>
  <c r="H18" i="11"/>
  <c r="N20" i="8" s="1"/>
  <c r="D19" i="11"/>
  <c r="J21" i="8" s="1"/>
  <c r="E19" i="11"/>
  <c r="K21" i="8" s="1"/>
  <c r="F19" i="11"/>
  <c r="L21" i="8" s="1"/>
  <c r="G19" i="11"/>
  <c r="M21" i="8" s="1"/>
  <c r="H19" i="11"/>
  <c r="N21" i="8" s="1"/>
  <c r="D20" i="11"/>
  <c r="J22" i="8" s="1"/>
  <c r="E20" i="11"/>
  <c r="K22" i="8" s="1"/>
  <c r="F20" i="11"/>
  <c r="L22" i="8" s="1"/>
  <c r="G20" i="11"/>
  <c r="M22" i="8" s="1"/>
  <c r="H20" i="11"/>
  <c r="N22" i="8" s="1"/>
  <c r="D21" i="11"/>
  <c r="J23" i="8" s="1"/>
  <c r="E21" i="11"/>
  <c r="K23" i="8" s="1"/>
  <c r="F21" i="11"/>
  <c r="L23" i="8" s="1"/>
  <c r="G21" i="11"/>
  <c r="M23" i="8" s="1"/>
  <c r="H21" i="11"/>
  <c r="N23" i="8" s="1"/>
  <c r="D22" i="11"/>
  <c r="J24" i="8" s="1"/>
  <c r="E22" i="11"/>
  <c r="K24" i="8" s="1"/>
  <c r="F22" i="11"/>
  <c r="L24" i="8" s="1"/>
  <c r="G22" i="11"/>
  <c r="M24" i="8" s="1"/>
  <c r="H22" i="11"/>
  <c r="N24" i="8" s="1"/>
  <c r="D23" i="11"/>
  <c r="J25" i="8" s="1"/>
  <c r="E23" i="11"/>
  <c r="K25" i="8" s="1"/>
  <c r="F23" i="11"/>
  <c r="L25" i="8" s="1"/>
  <c r="G23" i="11"/>
  <c r="M25" i="8" s="1"/>
  <c r="H23" i="11"/>
  <c r="N25" i="8" s="1"/>
  <c r="D24" i="11"/>
  <c r="J26" i="8" s="1"/>
  <c r="E24" i="11"/>
  <c r="K26" i="8" s="1"/>
  <c r="F24" i="11"/>
  <c r="L26" i="8" s="1"/>
  <c r="G24" i="11"/>
  <c r="M26" i="8" s="1"/>
  <c r="H24" i="11"/>
  <c r="N26" i="8" s="1"/>
  <c r="D25" i="11"/>
  <c r="J27" i="8" s="1"/>
  <c r="E25" i="11"/>
  <c r="K27" i="8" s="1"/>
  <c r="F25" i="11"/>
  <c r="L27" i="8" s="1"/>
  <c r="G25" i="11"/>
  <c r="M27" i="8" s="1"/>
  <c r="H25" i="11"/>
  <c r="N27" i="8" s="1"/>
  <c r="H28" i="11"/>
  <c r="H4" i="11"/>
  <c r="G28" i="11"/>
  <c r="M6" i="12" s="1"/>
  <c r="G4" i="11"/>
  <c r="M6" i="8" s="1"/>
  <c r="F28" i="11"/>
  <c r="F4" i="11"/>
  <c r="L6" i="8" s="1"/>
  <c r="H26" i="11" l="1"/>
  <c r="G50" i="11"/>
  <c r="M7" i="12"/>
  <c r="F50" i="11"/>
  <c r="L6" i="12"/>
  <c r="L29" i="12" s="1"/>
  <c r="L31" i="12" s="1"/>
  <c r="H50" i="11"/>
  <c r="N6" i="12"/>
  <c r="N29" i="12" s="1"/>
  <c r="N31" i="12" s="1"/>
  <c r="F26" i="11"/>
  <c r="N6" i="8"/>
  <c r="N29" i="8" s="1"/>
  <c r="G26" i="11"/>
  <c r="L29" i="8"/>
  <c r="P29" i="8"/>
  <c r="T29" i="8"/>
  <c r="X29" i="8"/>
  <c r="V29" i="8"/>
  <c r="M29" i="8"/>
  <c r="Q29" i="8"/>
  <c r="U29" i="8"/>
  <c r="R29" i="8"/>
  <c r="O29" i="8"/>
  <c r="S29" i="8"/>
  <c r="W29" i="8"/>
  <c r="E4" i="11"/>
  <c r="E28" i="11"/>
  <c r="D28" i="11"/>
  <c r="D4" i="11"/>
  <c r="M29" i="12" l="1"/>
  <c r="M31" i="12" s="1"/>
  <c r="D50" i="11"/>
  <c r="J6" i="12"/>
  <c r="E50" i="11"/>
  <c r="K6" i="12"/>
  <c r="K29" i="12" s="1"/>
  <c r="K31" i="12" s="1"/>
  <c r="J6" i="8"/>
  <c r="D26" i="11"/>
  <c r="K6" i="8"/>
  <c r="K29" i="8" s="1"/>
  <c r="E26" i="1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O91" i="1" s="1"/>
  <c r="P91" i="1" s="1"/>
  <c r="N77" i="1"/>
  <c r="N16" i="1"/>
  <c r="N15" i="1"/>
  <c r="N14" i="1"/>
  <c r="N13" i="1"/>
  <c r="N12" i="1"/>
  <c r="N11" i="1"/>
  <c r="N10" i="1"/>
  <c r="N9" i="1"/>
  <c r="N8" i="1"/>
  <c r="N7" i="1"/>
  <c r="N6" i="1"/>
  <c r="N5" i="1"/>
  <c r="O16" i="1" s="1"/>
  <c r="P16" i="1" s="1"/>
  <c r="N4" i="1"/>
  <c r="N3" i="1"/>
  <c r="N2" i="1"/>
  <c r="AA29" i="12" l="1"/>
  <c r="AA31" i="12" s="1"/>
  <c r="J29" i="12"/>
  <c r="J31" i="12" s="1"/>
  <c r="Z29" i="12"/>
  <c r="Z31" i="12" s="1"/>
  <c r="L7" i="10"/>
  <c r="N7" i="10" s="1"/>
  <c r="M7" i="10"/>
  <c r="O7" i="10" s="1"/>
  <c r="L8" i="10"/>
  <c r="N8" i="10" s="1"/>
  <c r="M8" i="10"/>
  <c r="O8" i="10" s="1"/>
  <c r="L9" i="10"/>
  <c r="N9" i="10" s="1"/>
  <c r="M9" i="10"/>
  <c r="O9" i="10" s="1"/>
  <c r="L10" i="10"/>
  <c r="N10" i="10" s="1"/>
  <c r="M10" i="10"/>
  <c r="O10" i="10" s="1"/>
  <c r="L11" i="10"/>
  <c r="N11" i="10" s="1"/>
  <c r="M11" i="10"/>
  <c r="O11" i="10" s="1"/>
  <c r="L12" i="10"/>
  <c r="N12" i="10" s="1"/>
  <c r="M12" i="10"/>
  <c r="O12" i="10" s="1"/>
  <c r="L13" i="10"/>
  <c r="N13" i="10" s="1"/>
  <c r="M13" i="10"/>
  <c r="O13" i="10" s="1"/>
  <c r="L14" i="10"/>
  <c r="N14" i="10" s="1"/>
  <c r="M14" i="10"/>
  <c r="O14" i="10" s="1"/>
  <c r="L15" i="10"/>
  <c r="N15" i="10" s="1"/>
  <c r="M15" i="10"/>
  <c r="O15" i="10" s="1"/>
  <c r="L16" i="10"/>
  <c r="N16" i="10" s="1"/>
  <c r="M16" i="10"/>
  <c r="O16" i="10" s="1"/>
  <c r="L17" i="10"/>
  <c r="N17" i="10" s="1"/>
  <c r="M17" i="10"/>
  <c r="O17" i="10" s="1"/>
  <c r="L18" i="10"/>
  <c r="N18" i="10" s="1"/>
  <c r="M18" i="10"/>
  <c r="O18" i="10" s="1"/>
  <c r="L19" i="10"/>
  <c r="N19" i="10" s="1"/>
  <c r="M19" i="10"/>
  <c r="O19" i="10" s="1"/>
  <c r="L20" i="10"/>
  <c r="N20" i="10" s="1"/>
  <c r="M20" i="10"/>
  <c r="O20" i="10" s="1"/>
  <c r="L21" i="10"/>
  <c r="N21" i="10" s="1"/>
  <c r="M21" i="10"/>
  <c r="O21" i="10" s="1"/>
  <c r="L22" i="10"/>
  <c r="N22" i="10" s="1"/>
  <c r="M22" i="10"/>
  <c r="O22" i="10" s="1"/>
  <c r="L23" i="10"/>
  <c r="N23" i="10" s="1"/>
  <c r="M23" i="10"/>
  <c r="O23" i="10" s="1"/>
  <c r="L24" i="10"/>
  <c r="N24" i="10" s="1"/>
  <c r="M24" i="10"/>
  <c r="O24" i="10" s="1"/>
  <c r="L25" i="10"/>
  <c r="N25" i="10" s="1"/>
  <c r="M25" i="10"/>
  <c r="O25" i="10" s="1"/>
  <c r="L26" i="10"/>
  <c r="N26" i="10" s="1"/>
  <c r="M26" i="10"/>
  <c r="O26" i="10" s="1"/>
  <c r="L27" i="10"/>
  <c r="N27" i="10" s="1"/>
  <c r="M27" i="10"/>
  <c r="O27" i="10" s="1"/>
  <c r="M6" i="10"/>
  <c r="O6" i="10" s="1"/>
  <c r="L6" i="10"/>
  <c r="N6" i="10" s="1"/>
  <c r="J24" i="3"/>
  <c r="K24" i="3" s="1"/>
  <c r="J17" i="3"/>
  <c r="J14" i="3"/>
  <c r="J13" i="3"/>
  <c r="J12" i="3"/>
  <c r="J11" i="3"/>
  <c r="J23" i="3"/>
  <c r="K23" i="3" s="1"/>
  <c r="J22" i="3"/>
  <c r="K22" i="3" s="1"/>
  <c r="K13" i="3" l="1"/>
  <c r="K10" i="3"/>
  <c r="J20" i="3"/>
  <c r="K20" i="3" s="1"/>
  <c r="J19" i="3"/>
  <c r="K19" i="3" s="1"/>
  <c r="J18" i="3"/>
  <c r="K18" i="3" s="1"/>
  <c r="K17" i="3"/>
  <c r="J16" i="3"/>
  <c r="K16" i="3" s="1"/>
  <c r="J15" i="3"/>
  <c r="K15" i="3" s="1"/>
  <c r="K14" i="3"/>
  <c r="J21" i="3"/>
  <c r="K21" i="3" s="1"/>
  <c r="K12" i="3"/>
  <c r="K11" i="3"/>
  <c r="J9" i="3"/>
  <c r="K9" i="3" s="1"/>
  <c r="J8" i="3"/>
  <c r="K8" i="3" s="1"/>
  <c r="J7" i="3"/>
  <c r="K7" i="3" s="1"/>
  <c r="J6" i="3"/>
  <c r="O22" i="3"/>
  <c r="O20" i="3"/>
  <c r="S22" i="3"/>
  <c r="Q22" i="3"/>
  <c r="M225" i="1"/>
  <c r="M221" i="1"/>
  <c r="M217" i="1"/>
  <c r="K13" i="9"/>
  <c r="L13" i="9" s="1"/>
  <c r="I13" i="9"/>
  <c r="J13" i="9" s="1"/>
  <c r="M213" i="1"/>
  <c r="M196" i="1"/>
  <c r="M195" i="1"/>
  <c r="M193" i="1"/>
  <c r="M192" i="1"/>
  <c r="M191" i="1"/>
  <c r="M189" i="1"/>
  <c r="M188" i="1"/>
  <c r="M187" i="1"/>
  <c r="M185" i="1"/>
  <c r="M184" i="1"/>
  <c r="M183" i="1"/>
  <c r="I22" i="9"/>
  <c r="J22" i="9" s="1"/>
  <c r="M180" i="1"/>
  <c r="M179" i="1"/>
  <c r="M176" i="1"/>
  <c r="M175" i="1"/>
  <c r="M172" i="1"/>
  <c r="M171" i="1"/>
  <c r="M168" i="1"/>
  <c r="K23" i="9"/>
  <c r="L23" i="9" s="1"/>
  <c r="M167" i="1"/>
  <c r="M158" i="1"/>
  <c r="D27" i="6"/>
  <c r="Y9" i="9"/>
  <c r="Z9" i="9" s="1"/>
  <c r="Y15" i="9"/>
  <c r="Z15" i="9" s="1"/>
  <c r="Y26" i="9"/>
  <c r="Z26" i="9" s="1"/>
  <c r="Y14" i="9"/>
  <c r="Z14" i="9" s="1"/>
  <c r="Y10" i="9"/>
  <c r="Z10" i="9" s="1"/>
  <c r="Y8" i="9"/>
  <c r="Z8" i="9" s="1"/>
  <c r="Y18" i="9"/>
  <c r="Z18" i="9" s="1"/>
  <c r="Y11" i="9"/>
  <c r="Z11" i="9" s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2" i="1"/>
  <c r="M218" i="1"/>
  <c r="M214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4" i="1"/>
  <c r="M190" i="1"/>
  <c r="M186" i="1"/>
  <c r="M182" i="1"/>
  <c r="M181" i="1"/>
  <c r="M177" i="1"/>
  <c r="M173" i="1"/>
  <c r="M169" i="1"/>
  <c r="M166" i="1"/>
  <c r="M165" i="1"/>
  <c r="M164" i="1"/>
  <c r="M163" i="1"/>
  <c r="M152" i="1"/>
  <c r="M62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331" i="1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V6" i="9"/>
  <c r="V5" i="9"/>
  <c r="K26" i="9"/>
  <c r="L26" i="9" s="1"/>
  <c r="K25" i="9"/>
  <c r="L25" i="9" s="1"/>
  <c r="K18" i="9"/>
  <c r="L18" i="9" s="1"/>
  <c r="K15" i="9"/>
  <c r="L15" i="9" s="1"/>
  <c r="K14" i="9"/>
  <c r="L14" i="9" s="1"/>
  <c r="K11" i="9"/>
  <c r="L11" i="9" s="1"/>
  <c r="K10" i="9"/>
  <c r="L10" i="9" s="1"/>
  <c r="K9" i="9"/>
  <c r="L9" i="9" s="1"/>
  <c r="K8" i="9"/>
  <c r="L8" i="9" s="1"/>
  <c r="K5" i="9"/>
  <c r="L5" i="9" s="1"/>
  <c r="I26" i="9"/>
  <c r="J26" i="9" s="1"/>
  <c r="I25" i="9"/>
  <c r="J25" i="9" s="1"/>
  <c r="I18" i="9"/>
  <c r="J18" i="9" s="1"/>
  <c r="I15" i="9"/>
  <c r="J15" i="9" s="1"/>
  <c r="I14" i="9"/>
  <c r="J14" i="9" s="1"/>
  <c r="I11" i="9"/>
  <c r="J11" i="9" s="1"/>
  <c r="I10" i="9"/>
  <c r="J10" i="9" s="1"/>
  <c r="I9" i="9"/>
  <c r="J9" i="9" s="1"/>
  <c r="I8" i="9"/>
  <c r="J8" i="9" s="1"/>
  <c r="I5" i="9"/>
  <c r="J5" i="9" s="1"/>
  <c r="Q20" i="3" l="1"/>
  <c r="K6" i="3"/>
  <c r="S20" i="3" s="1"/>
  <c r="O21" i="3"/>
  <c r="Y13" i="9"/>
  <c r="Z13" i="9" s="1"/>
  <c r="M215" i="1"/>
  <c r="M223" i="1"/>
  <c r="M212" i="1"/>
  <c r="M216" i="1"/>
  <c r="M220" i="1"/>
  <c r="M224" i="1"/>
  <c r="M219" i="1"/>
  <c r="Y25" i="9"/>
  <c r="Z25" i="9" s="1"/>
  <c r="K22" i="9"/>
  <c r="L22" i="9" s="1"/>
  <c r="Y22" i="9"/>
  <c r="Z22" i="9" s="1"/>
  <c r="M178" i="1"/>
  <c r="Y23" i="9"/>
  <c r="Z23" i="9" s="1"/>
  <c r="I23" i="9"/>
  <c r="J23" i="9" s="1"/>
  <c r="M170" i="1"/>
  <c r="M174" i="1"/>
  <c r="M154" i="1"/>
  <c r="K20" i="9"/>
  <c r="L20" i="9" s="1"/>
  <c r="I20" i="9"/>
  <c r="J20" i="9" s="1"/>
  <c r="M153" i="1"/>
  <c r="K6" i="9"/>
  <c r="L6" i="9" s="1"/>
  <c r="I6" i="9"/>
  <c r="J6" i="9" s="1"/>
  <c r="M122" i="1"/>
  <c r="M93" i="1"/>
  <c r="K16" i="9"/>
  <c r="L16" i="9" s="1"/>
  <c r="I16" i="9"/>
  <c r="J16" i="9" s="1"/>
  <c r="M92" i="1"/>
  <c r="M34" i="1"/>
  <c r="Y5" i="9"/>
  <c r="Z5" i="9" s="1"/>
  <c r="W9" i="9"/>
  <c r="X9" i="9" s="1"/>
  <c r="W18" i="9"/>
  <c r="X18" i="9" s="1"/>
  <c r="W25" i="9"/>
  <c r="X25" i="9" s="1"/>
  <c r="W14" i="9"/>
  <c r="X14" i="9" s="1"/>
  <c r="W26" i="9"/>
  <c r="X26" i="9" s="1"/>
  <c r="W10" i="9"/>
  <c r="X10" i="9" s="1"/>
  <c r="W5" i="9"/>
  <c r="X5" i="9" s="1"/>
  <c r="W8" i="9"/>
  <c r="X8" i="9" s="1"/>
  <c r="W15" i="9"/>
  <c r="X15" i="9" s="1"/>
  <c r="W22" i="9"/>
  <c r="X22" i="9" s="1"/>
  <c r="W11" i="9"/>
  <c r="X11" i="9" s="1"/>
  <c r="N12" i="3"/>
  <c r="O11" i="3"/>
  <c r="W23" i="9" l="1"/>
  <c r="X23" i="9" s="1"/>
  <c r="W13" i="9"/>
  <c r="X13" i="9" s="1"/>
  <c r="M159" i="1"/>
  <c r="M155" i="1"/>
  <c r="M160" i="1"/>
  <c r="M156" i="1"/>
  <c r="M123" i="1"/>
  <c r="M124" i="1"/>
  <c r="I24" i="9"/>
  <c r="J24" i="9" s="1"/>
  <c r="M94" i="1"/>
  <c r="I19" i="9"/>
  <c r="J19" i="9" s="1"/>
  <c r="K19" i="9"/>
  <c r="L19" i="9" s="1"/>
  <c r="M63" i="1"/>
  <c r="M64" i="1"/>
  <c r="M33" i="1"/>
  <c r="M35" i="1"/>
  <c r="O6" i="3"/>
  <c r="M161" i="1" l="1"/>
  <c r="M157" i="1"/>
  <c r="K24" i="9"/>
  <c r="L24" i="9" s="1"/>
  <c r="M125" i="1"/>
  <c r="I21" i="9"/>
  <c r="J21" i="9" s="1"/>
  <c r="M95" i="1"/>
  <c r="K21" i="9"/>
  <c r="L21" i="9" s="1"/>
  <c r="M65" i="1"/>
  <c r="K17" i="9"/>
  <c r="L17" i="9" s="1"/>
  <c r="I17" i="9"/>
  <c r="J17" i="9" s="1"/>
  <c r="AF9" i="8"/>
  <c r="AF27" i="8"/>
  <c r="AF26" i="8"/>
  <c r="AF25" i="8"/>
  <c r="AF22" i="8"/>
  <c r="AF23" i="8"/>
  <c r="AF24" i="8"/>
  <c r="AF21" i="8"/>
  <c r="AF14" i="8"/>
  <c r="AF15" i="8"/>
  <c r="AF16" i="8"/>
  <c r="AF17" i="8"/>
  <c r="AF18" i="8"/>
  <c r="AF19" i="8"/>
  <c r="AF20" i="8"/>
  <c r="AF13" i="8"/>
  <c r="AF12" i="8"/>
  <c r="AF11" i="8"/>
  <c r="AF10" i="8"/>
  <c r="AF8" i="8"/>
  <c r="AF7" i="8"/>
  <c r="AF6" i="8"/>
  <c r="E29" i="8"/>
  <c r="D29" i="8"/>
  <c r="Y20" i="9" l="1"/>
  <c r="Z20" i="9" s="1"/>
  <c r="M162" i="1"/>
  <c r="W20" i="9" s="1"/>
  <c r="X20" i="9" s="1"/>
  <c r="M126" i="1"/>
  <c r="M96" i="1"/>
  <c r="M66" i="1"/>
  <c r="M36" i="1"/>
  <c r="AE29" i="8"/>
  <c r="AB6" i="8"/>
  <c r="J29" i="8"/>
  <c r="M127" i="1" l="1"/>
  <c r="M97" i="1"/>
  <c r="M67" i="1"/>
  <c r="M37" i="1"/>
  <c r="Z29" i="8"/>
  <c r="AA29" i="8"/>
  <c r="N21" i="3"/>
  <c r="M128" i="1" l="1"/>
  <c r="M98" i="1"/>
  <c r="M68" i="1"/>
  <c r="M38" i="1"/>
  <c r="O23" i="3"/>
  <c r="E2" i="8"/>
  <c r="O10" i="3"/>
  <c r="O9" i="3"/>
  <c r="O12" i="3" s="1"/>
  <c r="K29" i="3"/>
  <c r="AA31" i="8" l="1"/>
  <c r="P31" i="8"/>
  <c r="T31" i="8"/>
  <c r="L31" i="8"/>
  <c r="X31" i="8"/>
  <c r="O31" i="8"/>
  <c r="W31" i="8"/>
  <c r="U31" i="8"/>
  <c r="V31" i="8"/>
  <c r="S31" i="8"/>
  <c r="Q31" i="8"/>
  <c r="R31" i="8"/>
  <c r="N31" i="8"/>
  <c r="K31" i="8"/>
  <c r="M31" i="8"/>
  <c r="P23" i="3"/>
  <c r="P20" i="3"/>
  <c r="P22" i="3"/>
  <c r="P21" i="3"/>
  <c r="M129" i="1"/>
  <c r="M99" i="1"/>
  <c r="M69" i="1"/>
  <c r="M39" i="1"/>
  <c r="Z31" i="8"/>
  <c r="J31" i="8"/>
  <c r="AE31" i="8"/>
  <c r="O13" i="3"/>
  <c r="S21" i="3"/>
  <c r="S23" i="3" l="1"/>
  <c r="T21" i="3" s="1"/>
  <c r="M130" i="1"/>
  <c r="M100" i="1"/>
  <c r="M70" i="1"/>
  <c r="M40" i="1"/>
  <c r="O14" i="3"/>
  <c r="J29" i="3"/>
  <c r="E29" i="3"/>
  <c r="D29" i="3"/>
  <c r="T23" i="3" l="1"/>
  <c r="T22" i="3"/>
  <c r="T20" i="3"/>
  <c r="M131" i="1"/>
  <c r="M101" i="1"/>
  <c r="M71" i="1"/>
  <c r="M41" i="1"/>
  <c r="N13" i="3"/>
  <c r="N14" i="3" s="1"/>
  <c r="Q21" i="3"/>
  <c r="C27" i="2"/>
  <c r="D27" i="2"/>
  <c r="Q23" i="3" l="1"/>
  <c r="R21" i="3" s="1"/>
  <c r="M132" i="1"/>
  <c r="M102" i="1"/>
  <c r="M72" i="1"/>
  <c r="M42" i="1"/>
  <c r="R23" i="3" l="1"/>
  <c r="R22" i="3"/>
  <c r="R20" i="3"/>
  <c r="M133" i="1"/>
  <c r="M103" i="1"/>
  <c r="M73" i="1"/>
  <c r="M43" i="1"/>
  <c r="M134" i="1" l="1"/>
  <c r="M104" i="1"/>
  <c r="M74" i="1"/>
  <c r="M44" i="1"/>
  <c r="M135" i="1" l="1"/>
  <c r="M105" i="1"/>
  <c r="M75" i="1"/>
  <c r="M45" i="1"/>
  <c r="M136" i="1" l="1"/>
  <c r="M106" i="1"/>
  <c r="M76" i="1"/>
  <c r="M46" i="1"/>
  <c r="M137" i="1" l="1"/>
  <c r="M107" i="1"/>
  <c r="M77" i="1"/>
  <c r="M47" i="1"/>
  <c r="M138" i="1" l="1"/>
  <c r="M108" i="1"/>
  <c r="M78" i="1"/>
  <c r="M48" i="1"/>
  <c r="M139" i="1" l="1"/>
  <c r="M109" i="1"/>
  <c r="M79" i="1"/>
  <c r="M49" i="1"/>
  <c r="M140" i="1" l="1"/>
  <c r="M110" i="1"/>
  <c r="M80" i="1"/>
  <c r="M50" i="1"/>
  <c r="M141" i="1" l="1"/>
  <c r="M111" i="1"/>
  <c r="M81" i="1"/>
  <c r="M51" i="1"/>
  <c r="M142" i="1" l="1"/>
  <c r="M112" i="1"/>
  <c r="M82" i="1"/>
  <c r="M52" i="1"/>
  <c r="M143" i="1" l="1"/>
  <c r="M113" i="1"/>
  <c r="M83" i="1"/>
  <c r="M53" i="1"/>
  <c r="M144" i="1" l="1"/>
  <c r="M114" i="1"/>
  <c r="M84" i="1"/>
  <c r="M54" i="1"/>
  <c r="M145" i="1" l="1"/>
  <c r="M115" i="1"/>
  <c r="M85" i="1"/>
  <c r="M55" i="1"/>
  <c r="M146" i="1" l="1"/>
  <c r="M116" i="1"/>
  <c r="M86" i="1"/>
  <c r="M56" i="1"/>
  <c r="M147" i="1" l="1"/>
  <c r="M117" i="1"/>
  <c r="M87" i="1"/>
  <c r="M57" i="1"/>
  <c r="M148" i="1" l="1"/>
  <c r="M118" i="1"/>
  <c r="M88" i="1"/>
  <c r="M58" i="1"/>
  <c r="M149" i="1" l="1"/>
  <c r="M119" i="1"/>
  <c r="M89" i="1"/>
  <c r="M59" i="1"/>
  <c r="M150" i="1" l="1"/>
  <c r="M120" i="1"/>
  <c r="M90" i="1"/>
  <c r="M60" i="1"/>
  <c r="W7" i="9"/>
  <c r="X7" i="9" s="1"/>
  <c r="Y7" i="9"/>
  <c r="Z7" i="9" s="1"/>
  <c r="Y12" i="9"/>
  <c r="Z12" i="9" s="1"/>
  <c r="M151" i="1" l="1"/>
  <c r="M121" i="1"/>
  <c r="M91" i="1"/>
  <c r="I7" i="9"/>
  <c r="J7" i="9" s="1"/>
  <c r="K7" i="9"/>
  <c r="L7" i="9" s="1"/>
  <c r="I12" i="9"/>
  <c r="J12" i="9" s="1"/>
  <c r="K12" i="9"/>
  <c r="L12" i="9" s="1"/>
  <c r="M61" i="1"/>
  <c r="W12" i="9" s="1"/>
  <c r="X12" i="9" s="1"/>
  <c r="Y6" i="9" l="1"/>
  <c r="Z6" i="9" s="1"/>
  <c r="Y24" i="9"/>
  <c r="Z24" i="9" s="1"/>
  <c r="W6" i="9"/>
  <c r="X6" i="9" s="1"/>
  <c r="W24" i="9"/>
  <c r="X24" i="9" s="1"/>
  <c r="W16" i="9"/>
  <c r="X16" i="9" s="1"/>
  <c r="W21" i="9"/>
  <c r="X21" i="9" s="1"/>
  <c r="Y16" i="9"/>
  <c r="Z16" i="9" s="1"/>
  <c r="Y21" i="9"/>
  <c r="Z21" i="9" s="1"/>
  <c r="W19" i="9"/>
  <c r="X19" i="9" s="1"/>
  <c r="W17" i="9"/>
  <c r="X17" i="9" s="1"/>
  <c r="Y19" i="9"/>
  <c r="Z19" i="9" s="1"/>
  <c r="Y17" i="9"/>
  <c r="Z17" i="9" s="1"/>
</calcChain>
</file>

<file path=xl/connections.xml><?xml version="1.0" encoding="utf-8"?>
<connections xmlns="http://schemas.openxmlformats.org/spreadsheetml/2006/main">
  <connection id="1" name="Query - Applications" description="Connection to the 'Applications' query in the workbook." type="100" refreshedVersion="6" minRefreshableVersion="5">
    <extLst>
      <ext xmlns:x15="http://schemas.microsoft.com/office/spreadsheetml/2010/11/main" uri="{DE250136-89BD-433C-8126-D09CA5730AF9}">
        <x15:connection id="4dd18674-ae03-4965-9b82-5642c1bfccbe"/>
      </ext>
    </extLst>
  </connection>
  <connection id="2" name="Query - Scores" description="Connection to the 'Scores' query in the workbook." type="100" refreshedVersion="6" minRefreshableVersion="5">
    <extLst>
      <ext xmlns:x15="http://schemas.microsoft.com/office/spreadsheetml/2010/11/main" uri="{DE250136-89BD-433C-8126-D09CA5730AF9}">
        <x15:connection id="c9007dfe-600c-457d-95df-daede64b0ac4"/>
      </ext>
    </extLst>
  </connection>
  <connection id="3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<sst xmlns="http://schemas.openxmlformats.org/spreadsheetml/2006/main" count="1553" uniqueCount="150">
  <si>
    <t>Organization Name</t>
  </si>
  <si>
    <t>Project Name</t>
  </si>
  <si>
    <t>Need</t>
  </si>
  <si>
    <t>Project Plan</t>
  </si>
  <si>
    <t>Proposed Results</t>
  </si>
  <si>
    <t>Capacity</t>
  </si>
  <si>
    <t>Equity</t>
  </si>
  <si>
    <t>Budget</t>
  </si>
  <si>
    <t>Overall</t>
  </si>
  <si>
    <t>Overall Total</t>
  </si>
  <si>
    <t>Overall Score Out of 100</t>
  </si>
  <si>
    <t>Asheville City Schools</t>
  </si>
  <si>
    <t>Expanding High-Quality Early Childhood Education within Asheville City Schools and Local Communities</t>
  </si>
  <si>
    <t> </t>
  </si>
  <si>
    <t>Evolve Early Learning</t>
  </si>
  <si>
    <t>Together We Rise at Evolve Early Learning</t>
  </si>
  <si>
    <t>Buncombe County Partnership for Children</t>
  </si>
  <si>
    <t xml:space="preserve">Early Childhood Systems Coordination &amp; Single Portal of Entry Implementation </t>
  </si>
  <si>
    <t>Colaborativa La Milpa</t>
  </si>
  <si>
    <t>PODER Emma ECE Collaborative Network</t>
  </si>
  <si>
    <t>F I R S T</t>
  </si>
  <si>
    <t>Behavior Support Initiative (BSI)</t>
  </si>
  <si>
    <t>Eliada Homes, Inc</t>
  </si>
  <si>
    <t>Eliada Child Development Center</t>
  </si>
  <si>
    <t>Community Action Opportunities</t>
  </si>
  <si>
    <t>We're Different and the Same!</t>
  </si>
  <si>
    <t>Rainbow Community School</t>
  </si>
  <si>
    <t>Rainbow Community School Early Childhood Program Expansion: Funding for a transitional kindergarten</t>
  </si>
  <si>
    <t>Asheville Creative Arts</t>
  </si>
  <si>
    <t>To Support an Innovative Partnership Between ACA Teaching Artists and Early Childhood Educators</t>
  </si>
  <si>
    <t>Swannanoa Valley Child Care Council (Donald S Collins Early Learning Center)</t>
  </si>
  <si>
    <t>Promoting and Enhancing Growth</t>
  </si>
  <si>
    <t>Irene Wortham Center</t>
  </si>
  <si>
    <t>Early Learning Center Program Enhancement</t>
  </si>
  <si>
    <t>Southwestern Child Development</t>
  </si>
  <si>
    <t>Valley Child Development</t>
  </si>
  <si>
    <t>Read to Succeed</t>
  </si>
  <si>
    <t>Community-Powered Literacy | Family Engagement and Kindergarten Readiness</t>
  </si>
  <si>
    <t>The Christine Avery Learning Center</t>
  </si>
  <si>
    <t>Advancing And Expanding Early Childhood Education (AAEECE)</t>
  </si>
  <si>
    <t>Boost Buncombe Children, A school-day school-year Pre-Kindergarten Project at Johnston Elementary</t>
  </si>
  <si>
    <t>Buncombe County Schools</t>
  </si>
  <si>
    <t>Increasing Access to High-Quality Early Care and Education at Emma Elementary School</t>
  </si>
  <si>
    <t>Buncombe Partnership for Children</t>
  </si>
  <si>
    <t xml:space="preserve">Early Childhood Teacher Workforce Development Program </t>
  </si>
  <si>
    <t>Boost Buncombe Families, A Full-Day Full-Year Pre-Kindergarten Program at the Lonnie D Burton Center</t>
  </si>
  <si>
    <t xml:space="preserve">Staffed Family Child Care Network to Increase FCCH slots </t>
  </si>
  <si>
    <t>Boost Buncombe Families, Providing Full-Day Full-Year Services for existing Head Start Children</t>
  </si>
  <si>
    <t xml:space="preserve">  Child Care Resources: Professional and Systems Development Project </t>
  </si>
  <si>
    <t xml:space="preserve">YWCA of Asheville and Western North Carolina </t>
  </si>
  <si>
    <t>YWCA Empowerment Child Care</t>
  </si>
  <si>
    <t>FY2022 Early Childhood Grant Applications</t>
  </si>
  <si>
    <t>FY2021 Grant</t>
  </si>
  <si>
    <t>FY2022 Request</t>
  </si>
  <si>
    <t>NOTES</t>
  </si>
  <si>
    <t>***requesting in addition to $450k already committeed for this project in FY2022</t>
  </si>
  <si>
    <t>Swannanoa Valley Child Care Council</t>
  </si>
  <si>
    <t>TOTAL REQUESTED</t>
  </si>
  <si>
    <t>REMINDER: $600,000 is already committed for FY2022 (Buncombe County Schools - Emma $450,000 and YWCA Early Learning $150,000)</t>
  </si>
  <si>
    <t>YWCA of Asheville and Western North Carolina</t>
  </si>
  <si>
    <t>Early Childhood Systems Coordination &amp; Single Portal of Entry Implementation</t>
  </si>
  <si>
    <t xml:space="preserve">  Child Care Resources: Professional and Systems Development Project</t>
  </si>
  <si>
    <t>Early Childhood Teacher Workforce Development Program</t>
  </si>
  <si>
    <t>Staffed Family Child Care Network to Increase FCCH slots</t>
  </si>
  <si>
    <t>Values</t>
  </si>
  <si>
    <t>Score</t>
  </si>
  <si>
    <t>FY21 Grant $'s</t>
  </si>
  <si>
    <t>FY22 Request</t>
  </si>
  <si>
    <t>Total</t>
  </si>
  <si>
    <t>Median</t>
  </si>
  <si>
    <t>Mean (Avg)</t>
  </si>
  <si>
    <t>Funding Count</t>
  </si>
  <si>
    <t>Recommended Funding</t>
  </si>
  <si>
    <t>BCS</t>
  </si>
  <si>
    <t>Adjusted Budget</t>
  </si>
  <si>
    <t>Less ACS</t>
  </si>
  <si>
    <t>FY22 Funding Allocated</t>
  </si>
  <si>
    <t>Funding Summary</t>
  </si>
  <si>
    <r>
      <t>Unallocated FY22 Budget</t>
    </r>
    <r>
      <rPr>
        <b/>
        <sz val="10"/>
        <color rgb="FFFF0000"/>
        <rFont val="Arial"/>
        <family val="2"/>
      </rPr>
      <t>*</t>
    </r>
  </si>
  <si>
    <t>ACS Allocation</t>
  </si>
  <si>
    <t>Greater than</t>
  </si>
  <si>
    <t>Between</t>
  </si>
  <si>
    <t>Less than</t>
  </si>
  <si>
    <t>Scoring Category</t>
  </si>
  <si>
    <t>Application Count</t>
  </si>
  <si>
    <t>Committee Member Recommended Funding Level</t>
  </si>
  <si>
    <t>Total Budget to Allocate</t>
  </si>
  <si>
    <t>Funded Amount</t>
  </si>
  <si>
    <t>% of Request</t>
  </si>
  <si>
    <t>Funding Count Shading</t>
  </si>
  <si>
    <t>Green</t>
  </si>
  <si>
    <t>Red</t>
  </si>
  <si>
    <t>Hide after finalizing</t>
  </si>
  <si>
    <t>YWCA</t>
  </si>
  <si>
    <t>*Please make best efforts to allocate the entire budget - the unallocated budget value should be close to zero</t>
  </si>
  <si>
    <t>Total FY2022 Budget</t>
  </si>
  <si>
    <t>*Requested amount reduced from $920K</t>
  </si>
  <si>
    <t>Full Amount</t>
  </si>
  <si>
    <t>Less Prior Year Commitments &amp; Avery's Creek Classroom:</t>
  </si>
  <si>
    <t>Avery's Creek / ACS Realignment</t>
  </si>
  <si>
    <t>Sum of Total Pts Calc</t>
  </si>
  <si>
    <t>Sum of Max Possible Pts</t>
  </si>
  <si>
    <t>Sum of Equity</t>
  </si>
  <si>
    <t>Equity Max Score</t>
  </si>
  <si>
    <t>Equity %</t>
  </si>
  <si>
    <t>Equity Row Count</t>
  </si>
  <si>
    <t>Variance</t>
  </si>
  <si>
    <t>total pts</t>
  </si>
  <si>
    <t>From scoring data</t>
  </si>
  <si>
    <t>Ct. of scores</t>
  </si>
  <si>
    <t>Score %</t>
  </si>
  <si>
    <t>Sum of Scoring Count</t>
  </si>
  <si>
    <t>count</t>
  </si>
  <si>
    <t>From scoring Data</t>
  </si>
  <si>
    <t>Buget</t>
  </si>
  <si>
    <t>Total Score %</t>
  </si>
  <si>
    <t>Max. Pts</t>
  </si>
  <si>
    <t>Min. Pts</t>
  </si>
  <si>
    <t>Please enter your recommended funding for each program and scenario in the orange shaded columns below</t>
  </si>
  <si>
    <t>Total Pts</t>
  </si>
  <si>
    <t>The scenario Less ACS is 72% of the Full Amount</t>
  </si>
  <si>
    <t>?</t>
  </si>
  <si>
    <t>% of Total</t>
  </si>
  <si>
    <t>*Score % is based on the # of members that have scored the given application</t>
  </si>
  <si>
    <t>Score %*</t>
  </si>
  <si>
    <t>Initial Scoring</t>
  </si>
  <si>
    <t>Revised Scoring</t>
  </si>
  <si>
    <t>Change</t>
  </si>
  <si>
    <t>P. Belcher</t>
  </si>
  <si>
    <t>M. ReisingCogbill</t>
  </si>
  <si>
    <t>W. Wieber</t>
  </si>
  <si>
    <t>High Funding</t>
  </si>
  <si>
    <t>Low Funding</t>
  </si>
  <si>
    <t>Members Scoring</t>
  </si>
  <si>
    <t>Funded Amt to Prior Yr</t>
  </si>
  <si>
    <t>Full Amount Scenario</t>
  </si>
  <si>
    <t>Less ACS Scenario</t>
  </si>
  <si>
    <t>A. Whitesides</t>
  </si>
  <si>
    <t>J. BeachF</t>
  </si>
  <si>
    <t>R. Johnston</t>
  </si>
  <si>
    <t>J. Hatley</t>
  </si>
  <si>
    <t>K. Cramer</t>
  </si>
  <si>
    <t>L. Anderson</t>
  </si>
  <si>
    <t>C. Letmen</t>
  </si>
  <si>
    <t>S. Mims</t>
  </si>
  <si>
    <t>R. Pressley</t>
  </si>
  <si>
    <t>G. Weinart</t>
  </si>
  <si>
    <t>K. Wynn</t>
  </si>
  <si>
    <t>B. Bowman</t>
  </si>
  <si>
    <t>Funding contingent upon pre-approved plan with no displacements of existing 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</si>
</sst>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;\-0.0%;0.0%"/>
    <numFmt numFmtId="167" formatCode="_(&quot;$&quot;* #,##0_);_(&quot;$&quot;* \(#,##0\);_(&quot;$&quot;* &quot;-&quot;??_);_(@_)"/>
    <numFmt numFmtId="168" formatCode="0.0%"/>
    <numFmt numFmtId="169" formatCode="_(* #,##0_);_(* \(#,##0\);_(* &quot;-&quot;??_);_(@_)"/>
  </numFmts>
  <fonts count="19" x14ac:knownFonts="1">
    <font>
      <sz val="10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9"/>
      <color rgb="FF434343"/>
      <name val="Arial"/>
      <family val="2"/>
    </font>
    <font>
      <sz val="10"/>
      <color rgb="FF66666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rgb="FF66666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3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59996337778862885"/>
      </left>
      <right style="medium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indexed="64"/>
      </left>
      <right style="thin">
        <color theme="4" tint="0.59996337778862885"/>
      </right>
      <top style="thin">
        <color theme="4" tint="0.59996337778862885"/>
      </top>
      <bottom style="medium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medium">
        <color indexed="64"/>
      </bottom>
      <diagonal/>
    </border>
    <border>
      <left style="thin">
        <color theme="4" tint="0.59996337778862885"/>
      </left>
      <right style="medium">
        <color indexed="64"/>
      </right>
      <top style="thin">
        <color theme="4" tint="0.59996337778862885"/>
      </top>
      <bottom style="medium">
        <color indexed="64"/>
      </bottom>
      <diagonal/>
    </border>
    <border>
      <left style="medium">
        <color indexed="64"/>
      </left>
      <right style="thin">
        <color theme="4" tint="0.59996337778862885"/>
      </right>
      <top style="medium">
        <color indexed="64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medium">
        <color indexed="64"/>
      </top>
      <bottom style="thin">
        <color theme="4" tint="0.59996337778862885"/>
      </bottom>
      <diagonal/>
    </border>
    <border>
      <left style="thin">
        <color theme="4" tint="0.59996337778862885"/>
      </left>
      <right style="medium">
        <color indexed="64"/>
      </right>
      <top style="medium">
        <color indexed="64"/>
      </top>
      <bottom style="thin">
        <color theme="4" tint="0.5999633777886288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59996337778862885"/>
      </bottom>
      <diagonal/>
    </border>
    <border>
      <left style="medium">
        <color indexed="64"/>
      </left>
      <right style="medium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indexed="64"/>
      </left>
      <right style="medium">
        <color indexed="64"/>
      </right>
      <top style="thin">
        <color theme="4" tint="0.59996337778862885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 tint="0.59996337778862885"/>
      </left>
      <right/>
      <top style="medium">
        <color indexed="64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59996337778862885"/>
      </bottom>
      <diagonal/>
    </border>
    <border>
      <left style="medium">
        <color indexed="64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indexed="64"/>
      </left>
      <right/>
      <top style="thin">
        <color theme="4" tint="0.59996337778862885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1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44" fontId="6" fillId="0" borderId="0" xfId="1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>
      <alignment vertical="center"/>
    </xf>
    <xf numFmtId="44" fontId="6" fillId="0" borderId="0" xfId="1" applyFont="1">
      <alignment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44" fontId="0" fillId="0" borderId="0" xfId="1" applyFont="1">
      <alignment vertical="center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horizontal="right"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left" vertical="center"/>
    </xf>
    <xf numFmtId="165" fontId="9" fillId="0" borderId="0" xfId="0" applyNumberFormat="1" applyFont="1">
      <alignment vertical="center"/>
    </xf>
    <xf numFmtId="0" fontId="1" fillId="0" borderId="0" xfId="2" applyAlignment="1"/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167" fontId="0" fillId="0" borderId="2" xfId="6" applyNumberFormat="1" applyFont="1" applyBorder="1" applyAlignment="1">
      <alignment vertical="center"/>
    </xf>
    <xf numFmtId="0" fontId="0" fillId="0" borderId="8" xfId="0" applyNumberFormat="1" applyBorder="1">
      <alignment vertical="center"/>
    </xf>
    <xf numFmtId="0" fontId="0" fillId="0" borderId="10" xfId="0" applyNumberFormat="1" applyBorder="1" applyAlignment="1">
      <alignment horizontal="left" vertical="center"/>
    </xf>
    <xf numFmtId="167" fontId="0" fillId="0" borderId="2" xfId="6" applyNumberFormat="1" applyFont="1" applyBorder="1" applyAlignment="1">
      <alignment horizontal="center" vertical="center"/>
    </xf>
    <xf numFmtId="167" fontId="0" fillId="0" borderId="16" xfId="6" applyNumberFormat="1" applyFont="1" applyBorder="1" applyAlignment="1">
      <alignment horizontal="center" vertical="center"/>
    </xf>
    <xf numFmtId="167" fontId="5" fillId="0" borderId="2" xfId="6" applyNumberFormat="1" applyFont="1" applyBorder="1" applyAlignment="1">
      <alignment horizontal="center" vertical="center"/>
    </xf>
    <xf numFmtId="167" fontId="5" fillId="0" borderId="16" xfId="6" applyNumberFormat="1" applyFont="1" applyBorder="1" applyAlignment="1">
      <alignment horizontal="center" vertical="center"/>
    </xf>
    <xf numFmtId="0" fontId="0" fillId="6" borderId="8" xfId="0" applyFill="1" applyBorder="1">
      <alignment vertical="center"/>
    </xf>
    <xf numFmtId="0" fontId="0" fillId="6" borderId="9" xfId="0" applyFill="1" applyBorder="1">
      <alignment vertical="center"/>
    </xf>
    <xf numFmtId="0" fontId="0" fillId="0" borderId="0" xfId="0" applyBorder="1">
      <alignment vertical="center"/>
    </xf>
    <xf numFmtId="167" fontId="0" fillId="0" borderId="0" xfId="6" applyNumberFormat="1" applyFont="1" applyBorder="1" applyAlignment="1">
      <alignment vertical="center"/>
    </xf>
    <xf numFmtId="0" fontId="0" fillId="0" borderId="11" xfId="0" applyBorder="1">
      <alignment vertical="center"/>
    </xf>
    <xf numFmtId="0" fontId="9" fillId="5" borderId="22" xfId="0" applyFont="1" applyFill="1" applyBorder="1" applyAlignment="1">
      <alignment horizontal="center" vertical="center"/>
    </xf>
    <xf numFmtId="167" fontId="9" fillId="5" borderId="23" xfId="6" applyNumberFormat="1" applyFont="1" applyFill="1" applyBorder="1" applyAlignment="1">
      <alignment vertical="center"/>
    </xf>
    <xf numFmtId="167" fontId="0" fillId="5" borderId="23" xfId="6" applyNumberFormat="1" applyFont="1" applyFill="1" applyBorder="1" applyAlignment="1">
      <alignment vertical="center"/>
    </xf>
    <xf numFmtId="0" fontId="0" fillId="5" borderId="23" xfId="0" applyFill="1" applyBorder="1">
      <alignment vertical="center"/>
    </xf>
    <xf numFmtId="167" fontId="9" fillId="0" borderId="0" xfId="6" applyNumberFormat="1" applyFont="1" applyAlignment="1">
      <alignment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167" fontId="9" fillId="5" borderId="17" xfId="6" applyNumberFormat="1" applyFont="1" applyFill="1" applyBorder="1" applyAlignment="1">
      <alignment vertical="center"/>
    </xf>
    <xf numFmtId="167" fontId="9" fillId="5" borderId="18" xfId="6" applyNumberFormat="1" applyFont="1" applyFill="1" applyBorder="1" applyAlignment="1">
      <alignment vertical="center"/>
    </xf>
    <xf numFmtId="0" fontId="9" fillId="5" borderId="30" xfId="0" applyNumberFormat="1" applyFont="1" applyFill="1" applyBorder="1" applyAlignment="1">
      <alignment horizontal="left" vertical="center"/>
    </xf>
    <xf numFmtId="166" fontId="0" fillId="0" borderId="34" xfId="0" applyNumberFormat="1" applyBorder="1">
      <alignment vertical="center"/>
    </xf>
    <xf numFmtId="166" fontId="0" fillId="0" borderId="37" xfId="0" applyNumberFormat="1" applyBorder="1">
      <alignment vertical="center"/>
    </xf>
    <xf numFmtId="166" fontId="0" fillId="0" borderId="40" xfId="0" applyNumberFormat="1" applyBorder="1">
      <alignment vertical="center"/>
    </xf>
    <xf numFmtId="0" fontId="0" fillId="6" borderId="0" xfId="0" applyFill="1" applyBorder="1">
      <alignment vertical="center"/>
    </xf>
    <xf numFmtId="0" fontId="12" fillId="6" borderId="0" xfId="0" applyFont="1" applyFill="1" applyBorder="1">
      <alignment vertical="center"/>
    </xf>
    <xf numFmtId="0" fontId="1" fillId="0" borderId="6" xfId="2" applyFill="1" applyBorder="1" applyAlignment="1">
      <alignment horizontal="center"/>
    </xf>
    <xf numFmtId="0" fontId="0" fillId="0" borderId="0" xfId="0" applyFill="1">
      <alignment vertical="center"/>
    </xf>
    <xf numFmtId="0" fontId="9" fillId="0" borderId="0" xfId="0" applyFont="1" applyAlignment="1">
      <alignment horizontal="right" vertical="center"/>
    </xf>
    <xf numFmtId="0" fontId="1" fillId="0" borderId="2" xfId="2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167" fontId="0" fillId="8" borderId="2" xfId="0" applyNumberFormat="1" applyFill="1" applyBorder="1">
      <alignment vertical="center"/>
    </xf>
    <xf numFmtId="167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9" fontId="0" fillId="0" borderId="2" xfId="7" applyFont="1" applyBorder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11" fillId="8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67" fontId="0" fillId="0" borderId="0" xfId="0" applyNumberFormat="1">
      <alignment vertical="center"/>
    </xf>
    <xf numFmtId="167" fontId="9" fillId="12" borderId="24" xfId="6" applyNumberFormat="1" applyFont="1" applyFill="1" applyBorder="1" applyAlignment="1">
      <alignment vertical="center"/>
    </xf>
    <xf numFmtId="167" fontId="9" fillId="12" borderId="17" xfId="6" applyNumberFormat="1" applyFont="1" applyFill="1" applyBorder="1" applyAlignment="1">
      <alignment vertical="center"/>
    </xf>
    <xf numFmtId="167" fontId="9" fillId="12" borderId="2" xfId="6" applyNumberFormat="1" applyFont="1" applyFill="1" applyBorder="1" applyAlignment="1">
      <alignment vertical="center"/>
    </xf>
    <xf numFmtId="167" fontId="9" fillId="12" borderId="16" xfId="6" applyNumberFormat="1" applyFont="1" applyFill="1" applyBorder="1" applyAlignment="1">
      <alignment vertical="center"/>
    </xf>
    <xf numFmtId="167" fontId="0" fillId="0" borderId="38" xfId="0" applyNumberFormat="1" applyBorder="1">
      <alignment vertical="center"/>
    </xf>
    <xf numFmtId="167" fontId="0" fillId="0" borderId="20" xfId="0" applyNumberFormat="1" applyBorder="1">
      <alignment vertical="center"/>
    </xf>
    <xf numFmtId="167" fontId="0" fillId="0" borderId="35" xfId="0" applyNumberFormat="1" applyBorder="1">
      <alignment vertical="center"/>
    </xf>
    <xf numFmtId="0" fontId="0" fillId="6" borderId="45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47" xfId="0" applyFill="1" applyBorder="1">
      <alignment vertical="center"/>
    </xf>
    <xf numFmtId="0" fontId="12" fillId="6" borderId="46" xfId="0" applyFont="1" applyFill="1" applyBorder="1">
      <alignment vertical="center"/>
    </xf>
    <xf numFmtId="0" fontId="13" fillId="6" borderId="46" xfId="0" applyFont="1" applyFill="1" applyBorder="1">
      <alignment vertical="center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0" fillId="0" borderId="0" xfId="0" pivotButton="1">
      <alignment vertical="center"/>
    </xf>
    <xf numFmtId="166" fontId="0" fillId="0" borderId="0" xfId="0" applyNumberFormat="1">
      <alignment vertical="center"/>
    </xf>
    <xf numFmtId="166" fontId="0" fillId="0" borderId="3" xfId="0" applyNumberFormat="1" applyBorder="1">
      <alignment vertical="center"/>
    </xf>
    <xf numFmtId="0" fontId="0" fillId="0" borderId="0" xfId="0" applyNumberFormat="1">
      <alignment vertical="center"/>
    </xf>
    <xf numFmtId="0" fontId="13" fillId="6" borderId="0" xfId="0" applyFont="1" applyFill="1" applyBorder="1" applyAlignment="1">
      <alignment horizontal="center" vertical="center" wrapText="1"/>
    </xf>
    <xf numFmtId="166" fontId="0" fillId="0" borderId="36" xfId="0" applyNumberFormat="1" applyBorder="1">
      <alignment vertical="center"/>
    </xf>
    <xf numFmtId="166" fontId="0" fillId="0" borderId="39" xfId="0" applyNumberFormat="1" applyBorder="1">
      <alignment vertical="center"/>
    </xf>
    <xf numFmtId="167" fontId="9" fillId="0" borderId="0" xfId="0" applyNumberFormat="1" applyFont="1">
      <alignment vertical="center"/>
    </xf>
    <xf numFmtId="0" fontId="13" fillId="6" borderId="11" xfId="0" applyFont="1" applyFill="1" applyBorder="1" applyAlignment="1">
      <alignment horizontal="center" vertical="center" wrapText="1"/>
    </xf>
    <xf numFmtId="167" fontId="0" fillId="13" borderId="21" xfId="6" applyNumberFormat="1" applyFont="1" applyFill="1" applyBorder="1" applyAlignment="1">
      <alignment vertical="center"/>
    </xf>
    <xf numFmtId="167" fontId="0" fillId="13" borderId="16" xfId="6" applyNumberFormat="1" applyFont="1" applyFill="1" applyBorder="1" applyAlignment="1">
      <alignment vertical="center"/>
    </xf>
    <xf numFmtId="0" fontId="0" fillId="0" borderId="10" xfId="0" applyNumberFormat="1" applyFill="1" applyBorder="1" applyAlignment="1">
      <alignment horizontal="left" vertical="center" wrapText="1"/>
    </xf>
    <xf numFmtId="167" fontId="16" fillId="0" borderId="19" xfId="6" applyNumberFormat="1" applyFont="1" applyBorder="1" applyAlignment="1">
      <alignment vertical="center"/>
    </xf>
    <xf numFmtId="167" fontId="0" fillId="0" borderId="0" xfId="0" applyNumberFormat="1" applyBorder="1">
      <alignment vertical="center"/>
    </xf>
    <xf numFmtId="167" fontId="0" fillId="13" borderId="49" xfId="6" applyNumberFormat="1" applyFont="1" applyFill="1" applyBorder="1" applyAlignment="1">
      <alignment vertical="center"/>
    </xf>
    <xf numFmtId="167" fontId="0" fillId="13" borderId="50" xfId="6" applyNumberFormat="1" applyFont="1" applyFill="1" applyBorder="1" applyAlignment="1">
      <alignment vertical="center"/>
    </xf>
    <xf numFmtId="167" fontId="0" fillId="13" borderId="51" xfId="6" applyNumberFormat="1" applyFont="1" applyFill="1" applyBorder="1" applyAlignment="1">
      <alignment vertical="center"/>
    </xf>
    <xf numFmtId="167" fontId="0" fillId="13" borderId="29" xfId="6" applyNumberFormat="1" applyFont="1" applyFill="1" applyBorder="1" applyAlignment="1">
      <alignment vertical="center"/>
    </xf>
    <xf numFmtId="167" fontId="0" fillId="13" borderId="30" xfId="6" applyNumberFormat="1" applyFont="1" applyFill="1" applyBorder="1" applyAlignment="1">
      <alignment vertical="center"/>
    </xf>
    <xf numFmtId="167" fontId="0" fillId="13" borderId="18" xfId="6" applyNumberFormat="1" applyFont="1" applyFill="1" applyBorder="1" applyAlignment="1">
      <alignment vertical="center"/>
    </xf>
    <xf numFmtId="0" fontId="14" fillId="6" borderId="26" xfId="0" applyFont="1" applyFill="1" applyBorder="1" applyAlignment="1">
      <alignment horizontal="center" vertical="center"/>
    </xf>
    <xf numFmtId="9" fontId="16" fillId="0" borderId="0" xfId="7" applyFont="1" applyAlignment="1">
      <alignment vertical="center"/>
    </xf>
    <xf numFmtId="0" fontId="10" fillId="6" borderId="8" xfId="0" applyFont="1" applyFill="1" applyBorder="1">
      <alignment vertical="center"/>
    </xf>
    <xf numFmtId="0" fontId="10" fillId="6" borderId="27" xfId="0" applyFont="1" applyFill="1" applyBorder="1">
      <alignment vertical="center"/>
    </xf>
    <xf numFmtId="0" fontId="0" fillId="0" borderId="3" xfId="0" applyBorder="1">
      <alignment vertical="center"/>
    </xf>
    <xf numFmtId="0" fontId="0" fillId="6" borderId="13" xfId="0" applyFill="1" applyBorder="1">
      <alignment vertical="center"/>
    </xf>
    <xf numFmtId="0" fontId="0" fillId="6" borderId="62" xfId="0" applyFill="1" applyBorder="1">
      <alignment vertical="center"/>
    </xf>
    <xf numFmtId="167" fontId="0" fillId="0" borderId="38" xfId="0" applyNumberFormat="1" applyBorder="1" applyAlignment="1">
      <alignment horizontal="center" vertical="center"/>
    </xf>
    <xf numFmtId="167" fontId="0" fillId="0" borderId="39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167" fontId="0" fillId="0" borderId="20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67" fontId="0" fillId="0" borderId="35" xfId="0" applyNumberFormat="1" applyBorder="1" applyAlignment="1">
      <alignment horizontal="center" vertical="center"/>
    </xf>
    <xf numFmtId="167" fontId="0" fillId="0" borderId="36" xfId="0" applyNumberForma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13" fillId="6" borderId="13" xfId="0" applyFont="1" applyFill="1" applyBorder="1">
      <alignment vertical="center"/>
    </xf>
    <xf numFmtId="0" fontId="0" fillId="0" borderId="13" xfId="0" applyBorder="1">
      <alignment vertical="center"/>
    </xf>
    <xf numFmtId="0" fontId="13" fillId="6" borderId="62" xfId="0" applyFont="1" applyFill="1" applyBorder="1" applyAlignment="1">
      <alignment horizontal="center" vertical="center"/>
    </xf>
    <xf numFmtId="0" fontId="0" fillId="14" borderId="10" xfId="0" applyNumberFormat="1" applyFill="1" applyBorder="1" applyAlignment="1">
      <alignment horizontal="left" vertical="center"/>
    </xf>
    <xf numFmtId="0" fontId="0" fillId="14" borderId="0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14" fillId="6" borderId="64" xfId="0" applyFont="1" applyFill="1" applyBorder="1" applyAlignment="1">
      <alignment horizontal="center" vertical="center"/>
    </xf>
    <xf numFmtId="0" fontId="14" fillId="6" borderId="45" xfId="0" applyFont="1" applyFill="1" applyBorder="1" applyAlignment="1">
      <alignment horizontal="center"/>
    </xf>
    <xf numFmtId="167" fontId="0" fillId="0" borderId="8" xfId="6" applyNumberFormat="1" applyFont="1" applyBorder="1" applyAlignment="1">
      <alignment vertical="center"/>
    </xf>
    <xf numFmtId="9" fontId="0" fillId="0" borderId="53" xfId="7" applyFont="1" applyBorder="1" applyAlignment="1">
      <alignment vertical="center"/>
    </xf>
    <xf numFmtId="167" fontId="0" fillId="0" borderId="10" xfId="6" applyNumberFormat="1" applyFont="1" applyBorder="1" applyAlignment="1">
      <alignment vertical="center"/>
    </xf>
    <xf numFmtId="9" fontId="0" fillId="0" borderId="11" xfId="7" applyFont="1" applyBorder="1" applyAlignment="1">
      <alignment vertical="center"/>
    </xf>
    <xf numFmtId="167" fontId="9" fillId="12" borderId="12" xfId="6" applyNumberFormat="1" applyFont="1" applyFill="1" applyBorder="1" applyAlignment="1">
      <alignment vertical="center"/>
    </xf>
    <xf numFmtId="9" fontId="0" fillId="0" borderId="63" xfId="7" applyFont="1" applyBorder="1" applyAlignment="1">
      <alignment vertical="center"/>
    </xf>
    <xf numFmtId="0" fontId="0" fillId="0" borderId="10" xfId="0" applyNumberFormat="1" applyBorder="1">
      <alignment vertical="center"/>
    </xf>
    <xf numFmtId="0" fontId="9" fillId="0" borderId="12" xfId="0" applyNumberFormat="1" applyFont="1" applyBorder="1" applyAlignment="1">
      <alignment horizontal="center" vertical="center"/>
    </xf>
    <xf numFmtId="0" fontId="14" fillId="6" borderId="8" xfId="0" applyNumberFormat="1" applyFont="1" applyFill="1" applyBorder="1" applyAlignment="1">
      <alignment horizontal="center"/>
    </xf>
    <xf numFmtId="0" fontId="14" fillId="6" borderId="48" xfId="0" applyFont="1" applyFill="1" applyBorder="1" applyAlignment="1">
      <alignment horizontal="center"/>
    </xf>
    <xf numFmtId="0" fontId="14" fillId="6" borderId="10" xfId="0" applyNumberFormat="1" applyFont="1" applyFill="1" applyBorder="1" applyAlignment="1">
      <alignment horizontal="left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9" fontId="0" fillId="9" borderId="66" xfId="7" applyFont="1" applyFill="1" applyBorder="1" applyAlignment="1">
      <alignment horizontal="center" vertical="center"/>
    </xf>
    <xf numFmtId="0" fontId="0" fillId="10" borderId="67" xfId="0" applyFill="1" applyBorder="1" applyAlignment="1">
      <alignment horizontal="center" vertical="center"/>
    </xf>
    <xf numFmtId="9" fontId="0" fillId="11" borderId="67" xfId="7" applyFont="1" applyFill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0" fillId="0" borderId="38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9" fillId="0" borderId="10" xfId="0" applyNumberFormat="1" applyFont="1" applyBorder="1" applyAlignment="1">
      <alignment horizontal="left" vertical="center"/>
    </xf>
    <xf numFmtId="167" fontId="9" fillId="0" borderId="2" xfId="6" applyNumberFormat="1" applyFont="1" applyBorder="1" applyAlignment="1">
      <alignment vertical="center"/>
    </xf>
    <xf numFmtId="167" fontId="9" fillId="0" borderId="16" xfId="6" applyNumberFormat="1" applyFont="1" applyBorder="1" applyAlignment="1">
      <alignment vertical="center"/>
    </xf>
    <xf numFmtId="0" fontId="14" fillId="6" borderId="10" xfId="0" applyFont="1" applyFill="1" applyBorder="1">
      <alignment vertical="center"/>
    </xf>
    <xf numFmtId="0" fontId="14" fillId="6" borderId="25" xfId="0" applyFont="1" applyFill="1" applyBorder="1">
      <alignment vertical="center"/>
    </xf>
    <xf numFmtId="0" fontId="0" fillId="0" borderId="59" xfId="0" applyBorder="1">
      <alignment vertical="center"/>
    </xf>
    <xf numFmtId="0" fontId="0" fillId="0" borderId="59" xfId="0" applyNumberFormat="1" applyBorder="1" applyAlignment="1">
      <alignment horizontal="center" vertical="center"/>
    </xf>
    <xf numFmtId="166" fontId="0" fillId="0" borderId="59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7" xfId="0" applyNumberFormat="1" applyBorder="1" applyAlignment="1">
      <alignment horizontal="center" vertical="center"/>
    </xf>
    <xf numFmtId="166" fontId="0" fillId="0" borderId="57" xfId="0" applyNumberFormat="1" applyBorder="1" applyAlignment="1">
      <alignment horizontal="center" vertical="center"/>
    </xf>
    <xf numFmtId="166" fontId="0" fillId="0" borderId="55" xfId="0" applyNumberFormat="1" applyBorder="1" applyAlignment="1">
      <alignment horizontal="center" vertical="center"/>
    </xf>
    <xf numFmtId="166" fontId="0" fillId="0" borderId="56" xfId="0" applyNumberFormat="1" applyBorder="1" applyAlignment="1">
      <alignment horizontal="center" vertical="center"/>
    </xf>
    <xf numFmtId="166" fontId="0" fillId="0" borderId="69" xfId="0" applyNumberFormat="1" applyBorder="1" applyAlignment="1">
      <alignment horizontal="center" vertical="center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12" fillId="6" borderId="62" xfId="0" applyFont="1" applyFill="1" applyBorder="1">
      <alignment vertical="center"/>
    </xf>
    <xf numFmtId="0" fontId="13" fillId="6" borderId="62" xfId="0" applyFont="1" applyFill="1" applyBorder="1">
      <alignment vertical="center"/>
    </xf>
    <xf numFmtId="0" fontId="0" fillId="0" borderId="38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14" fillId="6" borderId="73" xfId="0" applyFont="1" applyFill="1" applyBorder="1" applyAlignment="1">
      <alignment horizontal="center" vertical="center"/>
    </xf>
    <xf numFmtId="0" fontId="6" fillId="0" borderId="58" xfId="0" applyFont="1" applyBorder="1" applyAlignment="1">
      <alignment vertical="center" wrapText="1"/>
    </xf>
    <xf numFmtId="0" fontId="6" fillId="0" borderId="60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168" fontId="0" fillId="0" borderId="0" xfId="7" applyNumberFormat="1" applyFont="1" applyAlignment="1">
      <alignment vertical="center"/>
    </xf>
    <xf numFmtId="0" fontId="0" fillId="6" borderId="25" xfId="0" applyFill="1" applyBorder="1">
      <alignment vertical="center"/>
    </xf>
    <xf numFmtId="166" fontId="0" fillId="0" borderId="40" xfId="0" applyNumberFormat="1" applyBorder="1" applyAlignment="1">
      <alignment horizontal="center" vertical="center"/>
    </xf>
    <xf numFmtId="166" fontId="0" fillId="0" borderId="34" xfId="0" applyNumberFormat="1" applyBorder="1" applyAlignment="1">
      <alignment horizontal="center" vertical="center"/>
    </xf>
    <xf numFmtId="166" fontId="0" fillId="0" borderId="37" xfId="0" applyNumberForma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166" fontId="0" fillId="0" borderId="0" xfId="0" applyNumberFormat="1" applyBorder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6" borderId="74" xfId="0" applyFont="1" applyFill="1" applyBorder="1">
      <alignment vertical="center"/>
    </xf>
    <xf numFmtId="0" fontId="13" fillId="6" borderId="62" xfId="0" applyFont="1" applyFill="1" applyBorder="1" applyAlignment="1">
      <alignment horizontal="center" vertical="center" wrapText="1"/>
    </xf>
    <xf numFmtId="0" fontId="13" fillId="6" borderId="75" xfId="0" applyFont="1" applyFill="1" applyBorder="1" applyAlignment="1">
      <alignment horizontal="center" vertical="center" wrapText="1"/>
    </xf>
    <xf numFmtId="44" fontId="0" fillId="0" borderId="0" xfId="0" applyNumberFormat="1">
      <alignment vertical="center"/>
    </xf>
    <xf numFmtId="44" fontId="0" fillId="0" borderId="0" xfId="6" applyNumberFormat="1" applyFont="1" applyAlignment="1">
      <alignment vertical="center"/>
    </xf>
    <xf numFmtId="169" fontId="0" fillId="0" borderId="0" xfId="8" applyNumberFormat="1" applyFont="1" applyAlignment="1">
      <alignment vertical="center"/>
    </xf>
    <xf numFmtId="167" fontId="0" fillId="15" borderId="2" xfId="6" applyNumberFormat="1" applyFont="1" applyFill="1" applyBorder="1" applyAlignment="1">
      <alignment vertical="center"/>
    </xf>
    <xf numFmtId="0" fontId="0" fillId="15" borderId="0" xfId="0" applyFill="1" applyAlignment="1">
      <alignment vertical="center" wrapText="1"/>
    </xf>
    <xf numFmtId="0" fontId="18" fillId="0" borderId="0" xfId="0" applyFont="1">
      <alignment vertical="center"/>
    </xf>
    <xf numFmtId="167" fontId="0" fillId="8" borderId="2" xfId="6" applyNumberFormat="1" applyFont="1" applyFill="1" applyBorder="1" applyAlignment="1" applyProtection="1">
      <alignment vertical="center"/>
      <protection locked="0"/>
    </xf>
    <xf numFmtId="167" fontId="0" fillId="8" borderId="2" xfId="0" applyNumberFormat="1" applyFill="1" applyBorder="1" applyProtection="1">
      <alignment vertical="center"/>
      <protection locked="0"/>
    </xf>
    <xf numFmtId="0" fontId="11" fillId="0" borderId="5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43" fontId="17" fillId="6" borderId="44" xfId="8" applyFont="1" applyFill="1" applyBorder="1" applyAlignment="1">
      <alignment horizontal="center" vertical="center"/>
    </xf>
    <xf numFmtId="0" fontId="17" fillId="6" borderId="44" xfId="0" applyFont="1" applyFill="1" applyBorder="1" applyAlignment="1">
      <alignment horizontal="center" vertical="center"/>
    </xf>
    <xf numFmtId="0" fontId="17" fillId="6" borderId="65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wrapText="1"/>
    </xf>
    <xf numFmtId="0" fontId="14" fillId="6" borderId="64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4" fillId="7" borderId="52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6" borderId="54" xfId="0" applyFont="1" applyFill="1" applyBorder="1" applyAlignment="1">
      <alignment horizontal="center" vertical="center"/>
    </xf>
  </cellXfs>
  <cellStyles count="9">
    <cellStyle name="Comma" xfId="8" builtinId="3"/>
    <cellStyle name="Comma 2" xfId="4"/>
    <cellStyle name="Currency" xfId="6" builtinId="4"/>
    <cellStyle name="Currency 2" xfId="1"/>
    <cellStyle name="Currency 3" xfId="5"/>
    <cellStyle name="Normal" xfId="0" builtinId="0"/>
    <cellStyle name="Normal 2" xfId="2"/>
    <cellStyle name="Percent" xfId="7" builtinId="5"/>
    <cellStyle name="Percent 2" xfId="3"/>
  </cellStyles>
  <dxfs count="17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434343"/>
        <name val="Arial"/>
        <scheme val="none"/>
      </font>
      <fill>
        <patternFill patternType="solid">
          <fgColor indexed="64"/>
          <bgColor indexed="4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434343"/>
        <name val="Arial"/>
        <scheme val="none"/>
      </font>
      <fill>
        <patternFill patternType="solid">
          <fgColor indexed="64"/>
          <bgColor indexed="49"/>
        </patternFill>
      </fill>
      <alignment horizontal="center" vertical="center" textRotation="0" wrapText="0" indent="0" justifyLastLine="0" shrinkToFit="0" readingOrder="0"/>
    </dxf>
    <dxf>
      <border>
        <vertical/>
      </border>
    </dxf>
    <dxf>
      <border>
        <vertical/>
      </border>
    </dxf>
    <dxf>
      <border>
        <vertical/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left/>
        <right/>
        <vertical/>
      </border>
    </dxf>
    <dxf>
      <font>
        <color theme="0"/>
      </font>
      <fill>
        <patternFill patternType="solid">
          <fgColor indexed="64"/>
          <bgColor theme="3"/>
        </patternFill>
      </fill>
      <alignment horizontal="center" wrapText="1" readingOrder="0"/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alignment wrapText="1" readingOrder="0"/>
    </dxf>
    <dxf>
      <numFmt numFmtId="167" formatCode="_(&quot;$&quot;* #,##0_);_(&quot;$&quot;* \(#,##0\);_(&quot;$&quot;* &quot;-&quot;??_);_(@_)"/>
    </dxf>
    <dxf>
      <numFmt numFmtId="170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7" formatCode="_(&quot;$&quot;* #,##0_);_(&quot;$&quot;* \(#,##0\);_(&quot;$&quot;* &quot;-&quot;??_);_(@_)"/>
    </dxf>
    <dxf>
      <numFmt numFmtId="170" formatCode="_(&quot;$&quot;* #,##0.0_);_(&quot;$&quot;* \(#,##0.0\);_(&quot;$&quot;* &quot;-&quot;??_);_(@_)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ont>
        <color theme="3"/>
      </font>
    </dxf>
    <dxf>
      <alignment horizontal="center" readingOrder="0"/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alignment wrapText="1" readingOrder="0"/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font>
        <color theme="0"/>
      </font>
      <fill>
        <patternFill patternType="solid">
          <fgColor indexed="64"/>
          <bgColor theme="3"/>
        </patternFill>
      </fill>
      <alignment horizontal="center" readingOrder="0"/>
    </dxf>
    <dxf>
      <alignment horizontal="center" readingOrder="0"/>
    </dxf>
    <dxf>
      <font>
        <color theme="0"/>
      </font>
      <fill>
        <patternFill patternType="solid">
          <fgColor indexed="64"/>
          <bgColor theme="3"/>
        </patternFill>
      </fill>
      <alignment horizontal="center" readingOrder="0"/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theme="0"/>
      </font>
    </dxf>
    <dxf>
      <font>
        <color theme="0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ont>
        <color theme="3"/>
      </font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alignment wrapText="1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font>
        <color theme="0"/>
      </font>
      <fill>
        <patternFill patternType="solid">
          <fgColor indexed="64"/>
          <bgColor theme="3"/>
        </patternFill>
      </fill>
      <alignment horizontal="center" readingOrder="0"/>
    </dxf>
    <dxf>
      <alignment horizontal="center" readingOrder="0"/>
    </dxf>
    <dxf>
      <font>
        <color theme="0"/>
      </font>
      <fill>
        <patternFill patternType="solid">
          <fgColor indexed="64"/>
          <bgColor theme="3"/>
        </patternFill>
      </fill>
      <alignment horizontal="center" readingOrder="0"/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7" formatCode="_(&quot;$&quot;* #,##0_);_(&quot;$&quot;* \(#,##0\);_(&quot;$&quot;* &quot;-&quot;??_);_(@_)"/>
    </dxf>
    <dxf>
      <numFmt numFmtId="170" formatCode="_(&quot;$&quot;* #,##0.0_);_(&quot;$&quot;* \(#,##0.0\);_(&quot;$&quot;* &quot;-&quot;??_);_(@_)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ont>
        <color theme="3"/>
      </font>
    </dxf>
    <dxf>
      <alignment horizontal="center" readingOrder="0"/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alignment wrapText="1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0"/>
        </vertical>
      </border>
    </dxf>
    <dxf>
      <border>
        <vertical style="thin">
          <color theme="0"/>
        </vertical>
      </border>
    </dxf>
    <dxf>
      <border>
        <vertical style="thin">
          <color theme="0"/>
        </vertical>
      </border>
    </dxf>
    <dxf>
      <alignment horizontal="center" readingOrder="0"/>
    </dxf>
    <dxf>
      <font>
        <color theme="0"/>
      </font>
      <fill>
        <patternFill patternType="solid">
          <fgColor indexed="64"/>
          <bgColor theme="3"/>
        </patternFill>
      </fill>
      <alignment horizontal="center" wrapText="1" readingOrder="0"/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 style="thin">
          <color theme="0"/>
        </vertic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indexed="64"/>
          <bgColor theme="3"/>
        </patternFill>
      </fill>
      <alignment horizontal="center"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vertical/>
      </border>
    </dxf>
    <dxf>
      <numFmt numFmtId="167" formatCode="_(&quot;$&quot;* #,##0_);_(&quot;$&quot;* \(#,##0\);_(&quot;$&quot;* &quot;-&quot;??_);_(@_)"/>
    </dxf>
    <dxf>
      <numFmt numFmtId="170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font>
        <color theme="0"/>
      </font>
      <fill>
        <patternFill patternType="solid">
          <fgColor indexed="64"/>
          <bgColor theme="3"/>
        </patternFill>
      </fill>
      <alignment horizontal="center" wrapText="1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alignment wrapText="1" readingOrder="0"/>
    </dxf>
    <dxf>
      <numFmt numFmtId="167" formatCode="_(&quot;$&quot;* #,##0_);_(&quot;$&quot;* \(#,##0\);_(&quot;$&quot;* &quot;-&quot;??_);_(@_)"/>
    </dxf>
    <dxf>
      <numFmt numFmtId="170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7" formatCode="_(&quot;$&quot;* #,##0_);_(&quot;$&quot;* \(#,##0\);_(&quot;$&quot;* &quot;-&quot;??_);_(@_)"/>
    </dxf>
    <dxf>
      <numFmt numFmtId="170" formatCode="_(&quot;$&quot;* #,##0.0_);_(&quot;$&quot;* \(#,##0.0\);_(&quot;$&quot;* &quot;-&quot;??_);_(@_)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ont>
        <color theme="3"/>
      </font>
    </dxf>
    <dxf>
      <alignment horizontal="center" readingOrder="0"/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alignment wrapText="1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0"/>
        </vertical>
      </border>
    </dxf>
    <dxf>
      <border>
        <vertical style="thin">
          <color theme="0"/>
        </vertical>
      </border>
    </dxf>
    <dxf>
      <border>
        <vertical style="thin">
          <color theme="0"/>
        </vertical>
      </border>
    </dxf>
    <dxf>
      <alignment horizontal="center" readingOrder="0"/>
    </dxf>
    <dxf>
      <font>
        <color theme="0"/>
      </font>
      <fill>
        <patternFill patternType="solid">
          <fgColor indexed="64"/>
          <bgColor theme="3"/>
        </patternFill>
      </fill>
      <alignment horizontal="center" wrapText="1" readingOrder="0"/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vertical style="thin">
          <color theme="4" tint="0.59996337778862885"/>
        </vertical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 style="thin">
          <color theme="0"/>
        </vertic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vertical style="thin">
          <color theme="8" tint="0.79998168889431442"/>
        </vertical>
        <horizontal style="thin">
          <color theme="8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indexed="64"/>
          <bgColor theme="3"/>
        </patternFill>
      </fill>
      <alignment horizontal="center"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vertical/>
      </border>
    </dxf>
    <dxf>
      <numFmt numFmtId="167" formatCode="_(&quot;$&quot;* #,##0_);_(&quot;$&quot;* \(#,##0\);_(&quot;$&quot;* &quot;-&quot;??_);_(@_)"/>
    </dxf>
    <dxf>
      <numFmt numFmtId="170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font>
        <color theme="0"/>
      </font>
      <fill>
        <patternFill patternType="solid">
          <fgColor indexed="64"/>
          <bgColor theme="3"/>
        </patternFill>
      </fill>
      <alignment horizontal="center" wrapText="1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alignment wrapText="1" readingOrder="0"/>
    </dxf>
    <dxf>
      <numFmt numFmtId="167" formatCode="_(&quot;$&quot;* #,##0_);_(&quot;$&quot;* \(#,##0\);_(&quot;$&quot;* &quot;-&quot;??_);_(@_)"/>
    </dxf>
    <dxf>
      <numFmt numFmtId="170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7" formatCode="_(&quot;$&quot;* #,##0_);_(&quot;$&quot;* \(#,##0\);_(&quot;$&quot;* &quot;-&quot;??_);_(@_)"/>
    </dxf>
    <dxf>
      <numFmt numFmtId="170" formatCode="_(&quot;$&quot;* #,##0.0_);_(&quot;$&quot;* \(#,##0.0\);_(&quot;$&quot;* &quot;-&quot;??_);_(@_)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ont>
        <color theme="3"/>
      </font>
    </dxf>
    <dxf>
      <alignment horizontal="center" readingOrder="0"/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alignment wrapText="1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D2D2D2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pivotCacheDefinition" Target="pivotCache/pivotCacheDefinition6.xml"/><Relationship Id="rId39" Type="http://schemas.openxmlformats.org/officeDocument/2006/relationships/customXml" Target="../customXml/item6.xml"/><Relationship Id="rId21" Type="http://schemas.openxmlformats.org/officeDocument/2006/relationships/pivotCacheDefinition" Target="pivotCache/pivotCacheDefinition1.xml"/><Relationship Id="rId34" Type="http://schemas.openxmlformats.org/officeDocument/2006/relationships/customXml" Target="../customXml/item1.xml"/><Relationship Id="rId42" Type="http://schemas.openxmlformats.org/officeDocument/2006/relationships/customXml" Target="../customXml/item9.xml"/><Relationship Id="rId47" Type="http://schemas.openxmlformats.org/officeDocument/2006/relationships/customXml" Target="../customXml/item14.xml"/><Relationship Id="rId50" Type="http://schemas.openxmlformats.org/officeDocument/2006/relationships/customXml" Target="../customXml/item17.xml"/><Relationship Id="rId55" Type="http://schemas.openxmlformats.org/officeDocument/2006/relationships/customXml" Target="../customXml/item2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pivotCacheDefinition" Target="pivotCache/pivotCacheDefinition5.xml"/><Relationship Id="rId33" Type="http://schemas.openxmlformats.org/officeDocument/2006/relationships/calcChain" Target="calcChain.xml"/><Relationship Id="rId38" Type="http://schemas.openxmlformats.org/officeDocument/2006/relationships/customXml" Target="../customXml/item5.xml"/><Relationship Id="rId46" Type="http://schemas.openxmlformats.org/officeDocument/2006/relationships/customXml" Target="../customXml/item13.xml"/><Relationship Id="rId59" Type="http://schemas.openxmlformats.org/officeDocument/2006/relationships/customXml" Target="../customXml/item2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onnections" Target="connections.xml"/><Relationship Id="rId41" Type="http://schemas.openxmlformats.org/officeDocument/2006/relationships/customXml" Target="../customXml/item8.xml"/><Relationship Id="rId54" Type="http://schemas.openxmlformats.org/officeDocument/2006/relationships/customXml" Target="../customXml/item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pivotCacheDefinition" Target="pivotCache/pivotCacheDefinition4.xml"/><Relationship Id="rId32" Type="http://schemas.openxmlformats.org/officeDocument/2006/relationships/powerPivotData" Target="model/item.data"/><Relationship Id="rId37" Type="http://schemas.openxmlformats.org/officeDocument/2006/relationships/customXml" Target="../customXml/item4.xml"/><Relationship Id="rId40" Type="http://schemas.openxmlformats.org/officeDocument/2006/relationships/customXml" Target="../customXml/item7.xml"/><Relationship Id="rId45" Type="http://schemas.openxmlformats.org/officeDocument/2006/relationships/customXml" Target="../customXml/item12.xml"/><Relationship Id="rId53" Type="http://schemas.openxmlformats.org/officeDocument/2006/relationships/customXml" Target="../customXml/item20.xml"/><Relationship Id="rId58" Type="http://schemas.openxmlformats.org/officeDocument/2006/relationships/customXml" Target="../customXml/item2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pivotCacheDefinition" Target="pivotCache/pivotCacheDefinition3.xml"/><Relationship Id="rId28" Type="http://schemas.openxmlformats.org/officeDocument/2006/relationships/theme" Target="theme/theme1.xml"/><Relationship Id="rId36" Type="http://schemas.openxmlformats.org/officeDocument/2006/relationships/customXml" Target="../customXml/item3.xml"/><Relationship Id="rId49" Type="http://schemas.openxmlformats.org/officeDocument/2006/relationships/customXml" Target="../customXml/item16.xml"/><Relationship Id="rId57" Type="http://schemas.openxmlformats.org/officeDocument/2006/relationships/customXml" Target="../customXml/item24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haredStrings" Target="sharedStrings.xml"/><Relationship Id="rId44" Type="http://schemas.openxmlformats.org/officeDocument/2006/relationships/customXml" Target="../customXml/item11.xml"/><Relationship Id="rId52" Type="http://schemas.openxmlformats.org/officeDocument/2006/relationships/customXml" Target="../customXml/item19.xml"/><Relationship Id="rId60" Type="http://schemas.openxmlformats.org/officeDocument/2006/relationships/customXml" Target="../customXml/item2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pivotCacheDefinition" Target="pivotCache/pivotCacheDefinition2.xml"/><Relationship Id="rId27" Type="http://schemas.openxmlformats.org/officeDocument/2006/relationships/pivotCacheDefinition" Target="pivotCache/pivotCacheDefinition7.xml"/><Relationship Id="rId30" Type="http://schemas.openxmlformats.org/officeDocument/2006/relationships/styles" Target="styles.xml"/><Relationship Id="rId35" Type="http://schemas.openxmlformats.org/officeDocument/2006/relationships/customXml" Target="../customXml/item2.xml"/><Relationship Id="rId43" Type="http://schemas.openxmlformats.org/officeDocument/2006/relationships/customXml" Target="../customXml/item10.xml"/><Relationship Id="rId48" Type="http://schemas.openxmlformats.org/officeDocument/2006/relationships/customXml" Target="../customXml/item15.xml"/><Relationship Id="rId56" Type="http://schemas.openxmlformats.org/officeDocument/2006/relationships/customXml" Target="../customXml/item23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123825</xdr:rowOff>
    </xdr:from>
    <xdr:to>
      <xdr:col>9</xdr:col>
      <xdr:colOff>228600</xdr:colOff>
      <xdr:row>2</xdr:row>
      <xdr:rowOff>28575</xdr:rowOff>
    </xdr:to>
    <xdr:sp macro="" textlink="">
      <xdr:nvSpPr>
        <xdr:cNvPr id="2" name="TextBox 1"/>
        <xdr:cNvSpPr txBox="1"/>
      </xdr:nvSpPr>
      <xdr:spPr>
        <a:xfrm>
          <a:off x="8801100" y="1238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Total Scores</a:t>
          </a:r>
          <a:r>
            <a:rPr lang="en-US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by Category</a:t>
          </a:r>
          <a:endParaRPr lang="en-US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J.%20Hatle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C.%20Letman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B.%20Bowm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K.%20Cram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P.%20Belch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ReisingCogbil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uncombecountync-my.sharepoint.com/personal/burnett_walz_buncombecounty_org/Documents/Desktop/ECE%20Committee%20Scoring%20Models/Early%20Childhood%20Grant%20Scoring%20Model%20(FY2022)%20-%20C.%20Letma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A.%20Whitesid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J.%20BeachFerra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R.%20Johnst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215\OneDrive%20-%20Buncombe%20County%20Government\Desktop\ECE%20Committee%20Scoring%20Models\Early%20Childhood%20Grant%20Scoring%20Model%20(FY2022)%20-%20L.%20Ander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>
            <v>0</v>
          </cell>
          <cell r="K6">
            <v>0</v>
          </cell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>
            <v>118100</v>
          </cell>
          <cell r="K7">
            <v>50000</v>
          </cell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50000</v>
          </cell>
          <cell r="K8">
            <v>31968</v>
          </cell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300000</v>
          </cell>
          <cell r="K9">
            <v>250000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392109</v>
          </cell>
          <cell r="K10">
            <v>250000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529389</v>
          </cell>
          <cell r="K11">
            <v>257460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4999</v>
          </cell>
          <cell r="K12">
            <v>4999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138262</v>
          </cell>
          <cell r="K13">
            <v>120000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179483</v>
          </cell>
          <cell r="K14">
            <v>117327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28926</v>
          </cell>
          <cell r="K15">
            <v>12000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125000</v>
          </cell>
          <cell r="K16">
            <v>117919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143160</v>
          </cell>
          <cell r="K17">
            <v>125000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500000</v>
          </cell>
          <cell r="K18">
            <v>500000</v>
          </cell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36000</v>
          </cell>
          <cell r="K19">
            <v>30000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>
            <v>45000</v>
          </cell>
          <cell r="K20">
            <v>20000</v>
          </cell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125000</v>
          </cell>
          <cell r="K21">
            <v>100000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>
            <v>10044</v>
          </cell>
          <cell r="K22">
            <v>7367</v>
          </cell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>
            <v>31968</v>
          </cell>
          <cell r="K23">
            <v>15000</v>
          </cell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>
            <v>38000</v>
          </cell>
          <cell r="K24">
            <v>25000</v>
          </cell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>
            <v>70000</v>
          </cell>
          <cell r="K25">
            <v>50000</v>
          </cell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150000</v>
          </cell>
          <cell r="K26">
            <v>85000</v>
          </cell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30000</v>
          </cell>
          <cell r="K27">
            <v>25000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/>
          <cell r="K6"/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/>
          <cell r="K7"/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84832</v>
          </cell>
          <cell r="K8"/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375000</v>
          </cell>
          <cell r="K9">
            <v>375000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392109</v>
          </cell>
          <cell r="K10">
            <v>392109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529389</v>
          </cell>
          <cell r="K11">
            <v>529389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4999</v>
          </cell>
          <cell r="K12">
            <v>4999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138262</v>
          </cell>
          <cell r="K13">
            <v>138262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179483</v>
          </cell>
          <cell r="K14">
            <v>179483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28926</v>
          </cell>
          <cell r="K15">
            <v>28926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153000</v>
          </cell>
          <cell r="K16">
            <v>153000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143160</v>
          </cell>
          <cell r="K17">
            <v>143160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500000</v>
          </cell>
          <cell r="K18"/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36000</v>
          </cell>
          <cell r="K19">
            <v>36000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/>
          <cell r="K20"/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204140</v>
          </cell>
          <cell r="K21">
            <v>183712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/>
          <cell r="K22"/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/>
          <cell r="K23"/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>
            <v>73140</v>
          </cell>
          <cell r="K24"/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/>
          <cell r="K25"/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173000</v>
          </cell>
          <cell r="K26"/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30000</v>
          </cell>
          <cell r="K27">
            <v>30000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/>
          <cell r="K6" t="str">
            <v xml:space="preserve"> $-   </v>
          </cell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>
            <v>106015</v>
          </cell>
          <cell r="K7">
            <v>76377</v>
          </cell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72168</v>
          </cell>
          <cell r="K8">
            <v>51992</v>
          </cell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315000</v>
          </cell>
          <cell r="K9">
            <v>226937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333293</v>
          </cell>
          <cell r="K10">
            <v>240117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449981</v>
          </cell>
          <cell r="K11">
            <v>324182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4249</v>
          </cell>
          <cell r="K12">
            <v>3061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110610</v>
          </cell>
          <cell r="K13">
            <v>79687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152561</v>
          </cell>
          <cell r="K14">
            <v>109910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24587</v>
          </cell>
          <cell r="K15">
            <v>17713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119135</v>
          </cell>
          <cell r="K16">
            <v>85829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121686</v>
          </cell>
          <cell r="K17">
            <v>87667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670000</v>
          </cell>
          <cell r="K18">
            <v>482691</v>
          </cell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30600</v>
          </cell>
          <cell r="K19">
            <v>22045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>
            <v>0</v>
          </cell>
          <cell r="K20" t="str">
            <v xml:space="preserve"> $-   </v>
          </cell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171478</v>
          </cell>
          <cell r="K21">
            <v>123539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>
            <v>0</v>
          </cell>
          <cell r="K22" t="str">
            <v xml:space="preserve"> $-   </v>
          </cell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>
            <v>0</v>
          </cell>
          <cell r="K23" t="str">
            <v xml:space="preserve"> $-   </v>
          </cell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>
            <v>60707</v>
          </cell>
          <cell r="K24">
            <v>43735</v>
          </cell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>
            <v>134880</v>
          </cell>
          <cell r="K25">
            <v>97172</v>
          </cell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143590</v>
          </cell>
          <cell r="K26">
            <v>103447</v>
          </cell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24900</v>
          </cell>
          <cell r="K27">
            <v>17939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>
            <v>0</v>
          </cell>
          <cell r="K6">
            <v>0</v>
          </cell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>
            <v>0</v>
          </cell>
          <cell r="K7">
            <v>0</v>
          </cell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0</v>
          </cell>
          <cell r="K8">
            <v>0</v>
          </cell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375000</v>
          </cell>
          <cell r="K9">
            <v>375000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392109</v>
          </cell>
          <cell r="K10">
            <v>392109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529389</v>
          </cell>
          <cell r="K11">
            <v>529389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4999</v>
          </cell>
          <cell r="K12">
            <v>4999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138262</v>
          </cell>
          <cell r="K13">
            <v>138262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179483</v>
          </cell>
          <cell r="K14">
            <v>179483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28926</v>
          </cell>
          <cell r="K15">
            <v>28926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153000</v>
          </cell>
          <cell r="K16">
            <v>153000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143160</v>
          </cell>
          <cell r="K17">
            <v>143160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830972</v>
          </cell>
          <cell r="K18">
            <v>0</v>
          </cell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36000</v>
          </cell>
          <cell r="K19">
            <v>36000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>
            <v>0</v>
          </cell>
          <cell r="K20">
            <v>0</v>
          </cell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204140</v>
          </cell>
          <cell r="K21">
            <v>204140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>
            <v>0</v>
          </cell>
          <cell r="K22">
            <v>0</v>
          </cell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>
            <v>0</v>
          </cell>
          <cell r="K23">
            <v>0</v>
          </cell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/>
          <cell r="K24">
            <v>0</v>
          </cell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>
            <v>0</v>
          </cell>
          <cell r="K25">
            <v>0</v>
          </cell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0</v>
          </cell>
          <cell r="K26">
            <v>0</v>
          </cell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30000</v>
          </cell>
          <cell r="K27">
            <v>9572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>
            <v>0</v>
          </cell>
          <cell r="K6">
            <v>0</v>
          </cell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>
            <v>163100</v>
          </cell>
          <cell r="K7">
            <v>0</v>
          </cell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111028</v>
          </cell>
          <cell r="K8">
            <v>0</v>
          </cell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375000</v>
          </cell>
          <cell r="K9">
            <v>375000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392109</v>
          </cell>
          <cell r="K10">
            <v>392109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529389</v>
          </cell>
          <cell r="K11">
            <v>529389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4999</v>
          </cell>
          <cell r="K12">
            <v>4999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138262</v>
          </cell>
          <cell r="K13">
            <v>138262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179483</v>
          </cell>
          <cell r="K14">
            <v>179483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28926</v>
          </cell>
          <cell r="K15">
            <v>28926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153000</v>
          </cell>
          <cell r="K16">
            <v>129204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143160</v>
          </cell>
          <cell r="K17">
            <v>143160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500000</v>
          </cell>
          <cell r="K18">
            <v>0</v>
          </cell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36000</v>
          </cell>
          <cell r="K19">
            <v>36000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>
            <v>0</v>
          </cell>
          <cell r="K20">
            <v>0</v>
          </cell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53476</v>
          </cell>
          <cell r="K21">
            <v>0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>
            <v>0</v>
          </cell>
          <cell r="K22">
            <v>0</v>
          </cell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>
            <v>0</v>
          </cell>
          <cell r="K23">
            <v>0</v>
          </cell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>
            <v>0</v>
          </cell>
          <cell r="K24">
            <v>0</v>
          </cell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>
            <v>207508</v>
          </cell>
          <cell r="K25">
            <v>207508</v>
          </cell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0</v>
          </cell>
          <cell r="K26">
            <v>0</v>
          </cell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30000</v>
          </cell>
          <cell r="K27">
            <v>30000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>
            <v>0</v>
          </cell>
          <cell r="K6">
            <v>0</v>
          </cell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>
            <v>163100</v>
          </cell>
          <cell r="K7">
            <v>0</v>
          </cell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111028</v>
          </cell>
          <cell r="K8">
            <v>111028</v>
          </cell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375000</v>
          </cell>
          <cell r="K9">
            <v>254999.34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392109</v>
          </cell>
          <cell r="K10">
            <v>392109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529389</v>
          </cell>
          <cell r="K11">
            <v>529389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4999.3399999999983</v>
          </cell>
          <cell r="K12"/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138262</v>
          </cell>
          <cell r="K13">
            <v>0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179483</v>
          </cell>
          <cell r="K14">
            <v>179483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28926</v>
          </cell>
          <cell r="K15">
            <v>0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153000</v>
          </cell>
          <cell r="K16">
            <v>141491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143160</v>
          </cell>
          <cell r="K17">
            <v>143160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0</v>
          </cell>
          <cell r="K18"/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36000</v>
          </cell>
          <cell r="K19">
            <v>36000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>
            <v>99100</v>
          </cell>
          <cell r="K20">
            <v>99100</v>
          </cell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204140.29</v>
          </cell>
          <cell r="K21">
            <v>204140.29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>
            <v>0</v>
          </cell>
          <cell r="K22">
            <v>0</v>
          </cell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>
            <v>0</v>
          </cell>
          <cell r="K23">
            <v>0</v>
          </cell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>
            <v>73140</v>
          </cell>
          <cell r="K24">
            <v>73140</v>
          </cell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>
            <v>207508</v>
          </cell>
          <cell r="K25">
            <v>0</v>
          </cell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173000</v>
          </cell>
          <cell r="K26">
            <v>0</v>
          </cell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30000</v>
          </cell>
          <cell r="K27">
            <v>30000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/>
          <cell r="K6"/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/>
          <cell r="K7"/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84832</v>
          </cell>
          <cell r="K8"/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375000</v>
          </cell>
          <cell r="K9">
            <v>375000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392109</v>
          </cell>
          <cell r="K10">
            <v>392109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529389</v>
          </cell>
          <cell r="K11">
            <v>529389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4999</v>
          </cell>
          <cell r="K12">
            <v>4999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138262</v>
          </cell>
          <cell r="K13">
            <v>138262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179483</v>
          </cell>
          <cell r="K14">
            <v>179483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28926</v>
          </cell>
          <cell r="K15">
            <v>28926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153000</v>
          </cell>
          <cell r="K16">
            <v>153000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143160</v>
          </cell>
          <cell r="K17">
            <v>143160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500000</v>
          </cell>
          <cell r="K18"/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36000</v>
          </cell>
          <cell r="K19">
            <v>36000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/>
          <cell r="K20"/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204140</v>
          </cell>
          <cell r="K21">
            <v>183712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/>
          <cell r="K22"/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/>
          <cell r="K23"/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>
            <v>73140</v>
          </cell>
          <cell r="K24"/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/>
          <cell r="K25"/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173000</v>
          </cell>
          <cell r="K26"/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30000</v>
          </cell>
          <cell r="K27">
            <v>30000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>
            <v>0</v>
          </cell>
          <cell r="K6">
            <v>0</v>
          </cell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>
            <v>0</v>
          </cell>
          <cell r="K7">
            <v>0</v>
          </cell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111028</v>
          </cell>
          <cell r="K8">
            <v>51903</v>
          </cell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375000</v>
          </cell>
          <cell r="K9">
            <v>280402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392109</v>
          </cell>
          <cell r="K10">
            <v>297511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529389</v>
          </cell>
          <cell r="K11">
            <v>434791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4999</v>
          </cell>
          <cell r="K12">
            <v>4999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138262</v>
          </cell>
          <cell r="K13">
            <v>79125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179483</v>
          </cell>
          <cell r="K14">
            <v>96710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28926</v>
          </cell>
          <cell r="K15">
            <v>28926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141804</v>
          </cell>
          <cell r="K16">
            <v>82679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143160</v>
          </cell>
          <cell r="K17">
            <v>84035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500000</v>
          </cell>
          <cell r="K18">
            <v>405402</v>
          </cell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36000</v>
          </cell>
          <cell r="K19">
            <v>36000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>
            <v>0</v>
          </cell>
          <cell r="K20">
            <v>0</v>
          </cell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204140</v>
          </cell>
          <cell r="K21">
            <v>109542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>
            <v>0</v>
          </cell>
          <cell r="K22">
            <v>0</v>
          </cell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>
            <v>0</v>
          </cell>
          <cell r="K23">
            <v>0</v>
          </cell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>
            <v>73140</v>
          </cell>
          <cell r="K24">
            <v>73140</v>
          </cell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>
            <v>0</v>
          </cell>
          <cell r="K25">
            <v>0</v>
          </cell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173000</v>
          </cell>
          <cell r="K26">
            <v>113875</v>
          </cell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15000</v>
          </cell>
          <cell r="K27">
            <v>15000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>
            <v>300000</v>
          </cell>
          <cell r="K6">
            <v>0</v>
          </cell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>
            <v>75000</v>
          </cell>
          <cell r="K7">
            <v>54041</v>
          </cell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75000</v>
          </cell>
          <cell r="K8">
            <v>55000</v>
          </cell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360000</v>
          </cell>
          <cell r="K9">
            <v>300000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360000</v>
          </cell>
          <cell r="K10">
            <v>300000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492253</v>
          </cell>
          <cell r="K11">
            <v>380000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4999.3399999999983</v>
          </cell>
          <cell r="K12">
            <v>4999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138262</v>
          </cell>
          <cell r="K13">
            <v>120000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160000</v>
          </cell>
          <cell r="K14">
            <v>120000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28926</v>
          </cell>
          <cell r="K15">
            <v>20000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125000</v>
          </cell>
          <cell r="K16">
            <v>90000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115000</v>
          </cell>
          <cell r="K17">
            <v>105000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350000</v>
          </cell>
          <cell r="K18">
            <v>250000</v>
          </cell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36000</v>
          </cell>
          <cell r="K19">
            <v>30000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>
            <v>0</v>
          </cell>
          <cell r="K20">
            <v>0</v>
          </cell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175000</v>
          </cell>
          <cell r="K21">
            <v>150000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>
            <v>0</v>
          </cell>
          <cell r="K22">
            <v>0</v>
          </cell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>
            <v>0</v>
          </cell>
          <cell r="K23">
            <v>0</v>
          </cell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>
            <v>40000</v>
          </cell>
          <cell r="K24">
            <v>30000</v>
          </cell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>
            <v>100000</v>
          </cell>
          <cell r="K25">
            <v>90000</v>
          </cell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90000</v>
          </cell>
          <cell r="K26">
            <v>80000</v>
          </cell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20000</v>
          </cell>
          <cell r="K27">
            <v>15000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0.76703296703296697</v>
          </cell>
          <cell r="J6">
            <v>127832</v>
          </cell>
          <cell r="K6">
            <v>0</v>
          </cell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0.76530612244898</v>
          </cell>
          <cell r="J7">
            <v>100000</v>
          </cell>
          <cell r="K7">
            <v>50000</v>
          </cell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0.79795918367346896</v>
          </cell>
          <cell r="J8">
            <v>50000</v>
          </cell>
          <cell r="K8">
            <v>50000</v>
          </cell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0.88775510204081598</v>
          </cell>
          <cell r="J9">
            <v>375000</v>
          </cell>
          <cell r="K9">
            <v>300000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0.91428571428571404</v>
          </cell>
          <cell r="J10">
            <v>392109</v>
          </cell>
          <cell r="K10">
            <v>350000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0.90204081632653099</v>
          </cell>
          <cell r="J11">
            <v>529389</v>
          </cell>
          <cell r="K11">
            <v>375000</v>
          </cell>
        </row>
        <row r="12">
          <cell r="C12" t="str">
            <v>We're Different and the Same!</v>
          </cell>
          <cell r="D12">
            <v>0</v>
          </cell>
          <cell r="E12">
            <v>4999.34</v>
          </cell>
          <cell r="F12">
            <v>20</v>
          </cell>
          <cell r="G12">
            <v>35</v>
          </cell>
          <cell r="H12">
            <v>407</v>
          </cell>
          <cell r="I12">
            <v>0.89450549450549499</v>
          </cell>
          <cell r="J12">
            <v>4999</v>
          </cell>
          <cell r="K12">
            <v>4999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0.88571428571428601</v>
          </cell>
          <cell r="J13">
            <v>138262</v>
          </cell>
          <cell r="K13">
            <v>100000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179483</v>
          </cell>
          <cell r="K14">
            <v>150000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0.89010989010988995</v>
          </cell>
          <cell r="J15">
            <v>28926</v>
          </cell>
          <cell r="K15">
            <v>28926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0.863736263736264</v>
          </cell>
          <cell r="J16">
            <v>153000</v>
          </cell>
          <cell r="K16">
            <v>100000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0.88775510204081598</v>
          </cell>
          <cell r="J17">
            <v>143160</v>
          </cell>
          <cell r="K17">
            <v>100000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200000</v>
          </cell>
          <cell r="K18">
            <v>150000</v>
          </cell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0.88775510204081598</v>
          </cell>
          <cell r="J19">
            <v>36000</v>
          </cell>
          <cell r="K19">
            <v>36000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0.72857142857142898</v>
          </cell>
          <cell r="J20">
            <v>40000</v>
          </cell>
          <cell r="K20"/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204140</v>
          </cell>
          <cell r="K21">
            <v>204140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0.63061224489795897</v>
          </cell>
          <cell r="J22"/>
          <cell r="K22">
            <v>0</v>
          </cell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111848.2</v>
          </cell>
          <cell r="F23">
            <v>20</v>
          </cell>
          <cell r="G23">
            <v>33</v>
          </cell>
          <cell r="H23">
            <v>367</v>
          </cell>
          <cell r="I23">
            <v>0.74897959183673501</v>
          </cell>
          <cell r="J23">
            <v>50000</v>
          </cell>
          <cell r="K23">
            <v>21835</v>
          </cell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0.82857142857142896</v>
          </cell>
          <cell r="J24">
            <v>73140</v>
          </cell>
          <cell r="K24">
            <v>73140</v>
          </cell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0.75102040816326499</v>
          </cell>
          <cell r="J25">
            <v>50000</v>
          </cell>
          <cell r="K25">
            <v>50000</v>
          </cell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140000</v>
          </cell>
          <cell r="K26">
            <v>50000</v>
          </cell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0.84615384615384603</v>
          </cell>
          <cell r="J27">
            <v>30000</v>
          </cell>
          <cell r="K27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cores by Category"/>
      <sheetName val="Scoring Comparison"/>
      <sheetName val="Scoring Data"/>
      <sheetName val="App's Recieved"/>
    </sheetNames>
    <sheetDataSet>
      <sheetData sheetId="0">
        <row r="6">
          <cell r="C6" t="str">
            <v>Expanding High-Quality Early Childhood Education within Asheville City Schools and Local Communities</v>
          </cell>
          <cell r="D6">
            <v>159000</v>
          </cell>
          <cell r="E6">
            <v>693288</v>
          </cell>
          <cell r="F6">
            <v>21</v>
          </cell>
          <cell r="G6">
            <v>35</v>
          </cell>
          <cell r="H6">
            <v>349</v>
          </cell>
          <cell r="I6">
            <v>0.76703296703296708</v>
          </cell>
          <cell r="J6">
            <v>0</v>
          </cell>
          <cell r="K6">
            <v>0</v>
          </cell>
        </row>
        <row r="7">
          <cell r="C7" t="str">
            <v>Together We Rise at Evolve Early Learning</v>
          </cell>
          <cell r="D7">
            <v>0</v>
          </cell>
          <cell r="E7">
            <v>163100</v>
          </cell>
          <cell r="F7">
            <v>16</v>
          </cell>
          <cell r="G7">
            <v>35</v>
          </cell>
          <cell r="H7">
            <v>375</v>
          </cell>
          <cell r="I7">
            <v>0.76530612244897955</v>
          </cell>
          <cell r="J7">
            <v>0</v>
          </cell>
          <cell r="K7">
            <v>0</v>
          </cell>
        </row>
        <row r="8">
          <cell r="C8" t="str">
            <v>Eliada Child Development Center</v>
          </cell>
          <cell r="D8">
            <v>106384</v>
          </cell>
          <cell r="E8">
            <v>111028</v>
          </cell>
          <cell r="F8">
            <v>21</v>
          </cell>
          <cell r="G8">
            <v>35</v>
          </cell>
          <cell r="H8">
            <v>391</v>
          </cell>
          <cell r="I8">
            <v>0.79795918367346941</v>
          </cell>
          <cell r="J8">
            <v>84832</v>
          </cell>
          <cell r="K8"/>
        </row>
        <row r="9">
          <cell r="C9" t="str">
            <v>Advancing And Expanding Early Childhood Education (AAEECE)</v>
          </cell>
          <cell r="D9">
            <v>250000</v>
          </cell>
          <cell r="E9">
            <v>375000</v>
          </cell>
          <cell r="F9">
            <v>18</v>
          </cell>
          <cell r="G9">
            <v>35</v>
          </cell>
          <cell r="H9">
            <v>435</v>
          </cell>
          <cell r="I9">
            <v>0.88775510204081631</v>
          </cell>
          <cell r="J9">
            <v>375000</v>
          </cell>
          <cell r="K9">
            <v>375000</v>
          </cell>
        </row>
        <row r="10">
          <cell r="C10" t="str">
            <v>Boost Buncombe Families, Providing Full-Day Full-Year Services for existing Head Start Children</v>
          </cell>
          <cell r="D10">
            <v>0</v>
          </cell>
          <cell r="E10">
            <v>392109</v>
          </cell>
          <cell r="F10">
            <v>23</v>
          </cell>
          <cell r="G10">
            <v>35</v>
          </cell>
          <cell r="H10">
            <v>448</v>
          </cell>
          <cell r="I10">
            <v>0.91428571428571426</v>
          </cell>
          <cell r="J10">
            <v>392109</v>
          </cell>
          <cell r="K10">
            <v>392109</v>
          </cell>
        </row>
        <row r="11">
          <cell r="C11" t="str">
            <v>Boost Buncombe Families, A Full-Day Full-Year Pre-Kindergarten Program at the Lonnie D Burton Center</v>
          </cell>
          <cell r="D11">
            <v>234675</v>
          </cell>
          <cell r="E11">
            <v>529389</v>
          </cell>
          <cell r="F11">
            <v>21</v>
          </cell>
          <cell r="G11">
            <v>35</v>
          </cell>
          <cell r="H11">
            <v>442</v>
          </cell>
          <cell r="I11">
            <v>0.90204081632653066</v>
          </cell>
          <cell r="J11">
            <v>529389</v>
          </cell>
          <cell r="K11">
            <v>529389</v>
          </cell>
        </row>
        <row r="12">
          <cell r="C12" t="str">
            <v>We're Different and the Same!</v>
          </cell>
          <cell r="D12">
            <v>0</v>
          </cell>
          <cell r="E12">
            <v>4999.3399999999983</v>
          </cell>
          <cell r="F12">
            <v>20</v>
          </cell>
          <cell r="G12">
            <v>35</v>
          </cell>
          <cell r="H12">
            <v>407</v>
          </cell>
          <cell r="I12">
            <v>0.89450549450549455</v>
          </cell>
          <cell r="J12">
            <v>4999</v>
          </cell>
          <cell r="K12">
            <v>0</v>
          </cell>
        </row>
        <row r="13">
          <cell r="C13" t="str">
            <v>Boost Buncombe Children, A school-day school-year Pre-Kindergarten Project at Johnston Elementary</v>
          </cell>
          <cell r="D13">
            <v>138262</v>
          </cell>
          <cell r="E13">
            <v>138262</v>
          </cell>
          <cell r="F13">
            <v>26</v>
          </cell>
          <cell r="G13">
            <v>35</v>
          </cell>
          <cell r="H13">
            <v>434</v>
          </cell>
          <cell r="I13">
            <v>0.88571428571428568</v>
          </cell>
          <cell r="J13">
            <v>138262</v>
          </cell>
          <cell r="K13">
            <v>138262</v>
          </cell>
        </row>
        <row r="14">
          <cell r="C14" t="str">
            <v>Early Childhood Teacher Workforce Development Program</v>
          </cell>
          <cell r="D14">
            <v>138019</v>
          </cell>
          <cell r="E14">
            <v>179483</v>
          </cell>
          <cell r="F14">
            <v>27</v>
          </cell>
          <cell r="G14">
            <v>35</v>
          </cell>
          <cell r="H14">
            <v>441</v>
          </cell>
          <cell r="I14">
            <v>0.9</v>
          </cell>
          <cell r="J14">
            <v>179483</v>
          </cell>
          <cell r="K14">
            <v>179483</v>
          </cell>
        </row>
        <row r="15">
          <cell r="C15" t="str">
            <v>Staffed Family Child Care Network to Increase FCCH slots</v>
          </cell>
          <cell r="D15">
            <v>15882</v>
          </cell>
          <cell r="E15">
            <v>28926</v>
          </cell>
          <cell r="F15">
            <v>22</v>
          </cell>
          <cell r="G15">
            <v>35</v>
          </cell>
          <cell r="H15">
            <v>405</v>
          </cell>
          <cell r="I15">
            <v>0.89010989010989006</v>
          </cell>
          <cell r="J15">
            <v>28926</v>
          </cell>
          <cell r="K15">
            <v>28926</v>
          </cell>
        </row>
        <row r="16">
          <cell r="C16" t="str">
            <v xml:space="preserve">  Child Care Resources: Professional and Systems Development Project</v>
          </cell>
          <cell r="D16">
            <v>153000</v>
          </cell>
          <cell r="E16">
            <v>153000</v>
          </cell>
          <cell r="F16">
            <v>21</v>
          </cell>
          <cell r="G16">
            <v>35</v>
          </cell>
          <cell r="H16">
            <v>393</v>
          </cell>
          <cell r="I16">
            <v>0.86373626373626378</v>
          </cell>
          <cell r="J16">
            <v>153000</v>
          </cell>
          <cell r="K16">
            <v>153000</v>
          </cell>
        </row>
        <row r="17">
          <cell r="C17" t="str">
            <v>Early Childhood Systems Coordination &amp; Single Portal of Entry Implementation</v>
          </cell>
          <cell r="D17">
            <v>98644</v>
          </cell>
          <cell r="E17">
            <v>143160</v>
          </cell>
          <cell r="F17">
            <v>15</v>
          </cell>
          <cell r="G17">
            <v>35</v>
          </cell>
          <cell r="H17">
            <v>435</v>
          </cell>
          <cell r="I17">
            <v>0.88775510204081631</v>
          </cell>
          <cell r="J17">
            <v>143160</v>
          </cell>
          <cell r="K17">
            <v>143160</v>
          </cell>
        </row>
        <row r="18">
          <cell r="C18" t="str">
            <v>Increasing Access to High-Quality Early Care and Education at Emma Elementary School</v>
          </cell>
          <cell r="D18">
            <v>450000</v>
          </cell>
          <cell r="E18">
            <v>1000000</v>
          </cell>
          <cell r="F18">
            <v>22</v>
          </cell>
          <cell r="G18">
            <v>34</v>
          </cell>
          <cell r="H18">
            <v>384</v>
          </cell>
          <cell r="I18">
            <v>0.84395604395604396</v>
          </cell>
          <cell r="J18">
            <v>500000</v>
          </cell>
          <cell r="K18"/>
        </row>
        <row r="19">
          <cell r="C19" t="str">
            <v>PODER Emma ECE Collaborative Network</v>
          </cell>
          <cell r="D19">
            <v>36729</v>
          </cell>
          <cell r="E19">
            <v>36000</v>
          </cell>
          <cell r="F19">
            <v>22</v>
          </cell>
          <cell r="G19">
            <v>34</v>
          </cell>
          <cell r="H19">
            <v>435</v>
          </cell>
          <cell r="I19">
            <v>0.88775510204081631</v>
          </cell>
          <cell r="J19">
            <v>36000</v>
          </cell>
          <cell r="K19">
            <v>36000</v>
          </cell>
        </row>
        <row r="20">
          <cell r="C20" t="str">
            <v>Behavior Support Initiative (BSI)</v>
          </cell>
          <cell r="D20">
            <v>0</v>
          </cell>
          <cell r="E20">
            <v>99100</v>
          </cell>
          <cell r="F20">
            <v>15</v>
          </cell>
          <cell r="G20">
            <v>35</v>
          </cell>
          <cell r="H20">
            <v>357</v>
          </cell>
          <cell r="I20">
            <v>0.72857142857142854</v>
          </cell>
          <cell r="J20">
            <v>0</v>
          </cell>
          <cell r="K20">
            <v>0</v>
          </cell>
        </row>
        <row r="21">
          <cell r="C21" t="str">
            <v>Early Learning Center Program Enhancement</v>
          </cell>
          <cell r="D21">
            <v>97706</v>
          </cell>
          <cell r="E21">
            <v>204140.29</v>
          </cell>
          <cell r="F21">
            <v>22</v>
          </cell>
          <cell r="G21">
            <v>34</v>
          </cell>
          <cell r="H21">
            <v>423</v>
          </cell>
          <cell r="I21">
            <v>0.86326530612244901</v>
          </cell>
          <cell r="J21">
            <v>204140</v>
          </cell>
          <cell r="K21">
            <v>135999</v>
          </cell>
        </row>
        <row r="22">
          <cell r="C22" t="str">
            <v>To Support an Innovative Partnership Between ACA Teaching Artists and Early Childhood Educators</v>
          </cell>
          <cell r="D22">
            <v>0</v>
          </cell>
          <cell r="E22">
            <v>75000</v>
          </cell>
          <cell r="F22">
            <v>15</v>
          </cell>
          <cell r="G22">
            <v>30</v>
          </cell>
          <cell r="H22">
            <v>309</v>
          </cell>
          <cell r="I22">
            <v>0.6306122448979592</v>
          </cell>
          <cell r="J22">
            <v>0</v>
          </cell>
          <cell r="K22">
            <v>0</v>
          </cell>
        </row>
        <row r="23">
          <cell r="C23" t="str">
            <v>Rainbow Community School Early Childhood Program Expansion: Funding for a transitional kindergarten</v>
          </cell>
          <cell r="D23">
            <v>0</v>
          </cell>
          <cell r="E23">
            <v>111848.19999999997</v>
          </cell>
          <cell r="F23">
            <v>20</v>
          </cell>
          <cell r="G23">
            <v>33</v>
          </cell>
          <cell r="H23">
            <v>367</v>
          </cell>
          <cell r="I23">
            <v>0.74897959183673468</v>
          </cell>
          <cell r="J23">
            <v>0</v>
          </cell>
          <cell r="K23">
            <v>0</v>
          </cell>
        </row>
        <row r="24">
          <cell r="C24" t="str">
            <v>Community-Powered Literacy | Family Engagement and Kindergarten Readiness</v>
          </cell>
          <cell r="D24">
            <v>0</v>
          </cell>
          <cell r="E24">
            <v>73140</v>
          </cell>
          <cell r="F24">
            <v>24</v>
          </cell>
          <cell r="G24">
            <v>35</v>
          </cell>
          <cell r="H24">
            <v>406</v>
          </cell>
          <cell r="I24">
            <v>0.82857142857142863</v>
          </cell>
          <cell r="J24">
            <v>73140</v>
          </cell>
          <cell r="K24">
            <v>73140</v>
          </cell>
        </row>
        <row r="25">
          <cell r="C25" t="str">
            <v>Valley Child Development</v>
          </cell>
          <cell r="D25">
            <v>183508</v>
          </cell>
          <cell r="E25">
            <v>207508</v>
          </cell>
          <cell r="F25">
            <v>18</v>
          </cell>
          <cell r="G25">
            <v>34</v>
          </cell>
          <cell r="H25">
            <v>368</v>
          </cell>
          <cell r="I25">
            <v>0.75102040816326532</v>
          </cell>
          <cell r="J25">
            <v>0</v>
          </cell>
          <cell r="K25">
            <v>0</v>
          </cell>
        </row>
        <row r="26">
          <cell r="C26" t="str">
            <v>Promoting and Enhancing Growth</v>
          </cell>
          <cell r="D26">
            <v>331945</v>
          </cell>
          <cell r="E26">
            <v>173000</v>
          </cell>
          <cell r="F26">
            <v>18</v>
          </cell>
          <cell r="G26">
            <v>34</v>
          </cell>
          <cell r="H26">
            <v>405</v>
          </cell>
          <cell r="I26">
            <v>0.82653061224489799</v>
          </cell>
          <cell r="J26">
            <v>173000</v>
          </cell>
          <cell r="K26"/>
        </row>
        <row r="27">
          <cell r="C27" t="str">
            <v>YWCA Empowerment Child Care</v>
          </cell>
          <cell r="D27">
            <v>0</v>
          </cell>
          <cell r="E27">
            <v>30000</v>
          </cell>
          <cell r="F27">
            <v>14</v>
          </cell>
          <cell r="G27">
            <v>35</v>
          </cell>
          <cell r="H27">
            <v>385</v>
          </cell>
          <cell r="I27">
            <v>0.84615384615384615</v>
          </cell>
          <cell r="J27">
            <v>30000</v>
          </cell>
          <cell r="K27">
            <v>9572</v>
          </cell>
        </row>
      </sheetData>
      <sheetData sheetId="1"/>
      <sheetData sheetId="2"/>
      <sheetData sheetId="3"/>
      <sheetData sheetId="4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urnett Walz" refreshedDate="44302.684294212966" backgroundQuery="1" createdVersion="6" refreshedVersion="6" minRefreshableVersion="3" recordCount="0" supportSubquery="1" supportAdvancedDrill="1">
  <cacheSource type="external" connectionId="3"/>
  <cacheFields count="11">
    <cacheField name="[Scores].[Organization Name].[Organization Name]" caption="Organization Name" numFmtId="0" hierarchy="5" level="1">
      <sharedItems count="17">
        <s v="Asheville City Schools"/>
        <s v="Asheville Creative Arts"/>
        <s v="Buncombe County Partnership for Children"/>
        <s v="Buncombe County Schools"/>
        <s v="Buncombe Partnership for Children"/>
        <s v="Colaborativa La Milpa"/>
        <s v="Community Action Opportunities"/>
        <s v="Eliada Homes, Inc"/>
        <s v="Evolve Early Learning"/>
        <s v="F I R S T"/>
        <s v="Irene Wortham Center"/>
        <s v="Rainbow Community School"/>
        <s v="Read to Succeed"/>
        <s v="Southwestern Child Development"/>
        <s v="Swannanoa Valley Child Care Council (Donald S Collins Early Learning Center)"/>
        <s v="The Christine Avery Learning Center"/>
        <s v="YWCA of Asheville and Western North Carolina"/>
      </sharedItems>
    </cacheField>
    <cacheField name="[Scores].[Project Name].[Project Name]" caption="Project Name" numFmtId="0" hierarchy="6" level="1">
      <sharedItems count="22">
        <s v="Expanding High-Quality Early Childhood Education within Asheville City Schools and Local Communities"/>
        <s v="To Support an Innovative Partnership Between ACA Teaching Artists and Early Childhood Educators"/>
        <s v="Early Childhood Systems Coordination &amp; Single Portal of Entry Implementation"/>
        <s v="Increasing Access to High-Quality Early Care and Education at Emma Elementary School"/>
        <s v="  Child Care Resources: Professional and Systems Development Project"/>
        <s v="Early Childhood Teacher Workforce Development Program"/>
        <s v="Staffed Family Child Care Network to Increase FCCH slots"/>
        <s v="PODER Emma ECE Collaborative Network"/>
        <s v="Boost Buncombe Children, A school-day school-year Pre-Kindergarten Project at Johnston Elementary"/>
        <s v="Boost Buncombe Families, A Full-Day Full-Year Pre-Kindergarten Program at the Lonnie D Burton Center"/>
        <s v="Boost Buncombe Families, Providing Full-Day Full-Year Services for existing Head Start Children"/>
        <s v="We're Different and the Same!"/>
        <s v="Eliada Child Development Center"/>
        <s v="Together We Rise at Evolve Early Learning"/>
        <s v="Behavior Support Initiative (BSI)"/>
        <s v="Early Learning Center Program Enhancement"/>
        <s v="Rainbow Community School Early Childhood Program Expansion: Funding for a transitional kindergarten"/>
        <s v="Community-Powered Literacy | Family Engagement and Kindergarten Readiness"/>
        <s v="Valley Child Development"/>
        <s v="Promoting and Enhancing Growth"/>
        <s v="Advancing And Expanding Early Childhood Education (AAEECE)"/>
        <s v="YWCA Empowerment Child Care"/>
      </sharedItems>
    </cacheField>
    <cacheField name="[Measures].[Sum of FY22 Request]" caption="Sum of FY22 Request" numFmtId="0" hierarchy="32" level="32767"/>
    <cacheField name="[Measures].[Need %]" caption="Need %" numFmtId="0" hierarchy="59" level="32767"/>
    <cacheField name="[Measures].[Plan %]" caption="Plan %" numFmtId="0" hierarchy="57" level="32767"/>
    <cacheField name="[Measures].[Results %]" caption="Results %" numFmtId="0" hierarchy="55" level="32767"/>
    <cacheField name="[Measures].[Capacity %]" caption="Capacity %" numFmtId="0" hierarchy="51" level="32767"/>
    <cacheField name="[Measures].[Equity %]" caption="Equity %" numFmtId="0" hierarchy="44" level="32767"/>
    <cacheField name="[Measures].[Buget %]" caption="Buget %" numFmtId="0" hierarchy="49" level="32767"/>
    <cacheField name="[Measures].[Overall %]" caption="Overall %" numFmtId="0" hierarchy="53" level="32767"/>
    <cacheField name="[Measures].[Score %]" caption="Score %" numFmtId="0" hierarchy="42" level="32767"/>
  </cacheFields>
  <cacheHierarchies count="66">
    <cacheHierarchy uniqueName="[Applications].[Organization Name]" caption="Organization Name" attribute="1" defaultMemberUniqueName="[Applications].[Organization Name].[All]" allUniqueName="[Applications].[Organization Name].[All]" dimensionUniqueName="[Applications]" displayFolder="" count="0" memberValueDatatype="130" unbalanced="0"/>
    <cacheHierarchy uniqueName="[Applications].[Project Name]" caption="Project Name" attribute="1" defaultMemberUniqueName="[Applications].[Project Name].[All]" allUniqueName="[Applications].[Project Name].[All]" dimensionUniqueName="[Applications]" displayFolder="" count="0" memberValueDatatype="130" unbalanced="0"/>
    <cacheHierarchy uniqueName="[Applications].[FY2021 Grant]" caption="FY2021 Grant" attribute="1" defaultMemberUniqueName="[Applications].[FY2021 Grant].[All]" allUniqueName="[Applications].[FY2021 Grant].[All]" dimensionUniqueName="[Applications]" displayFolder="" count="0" memberValueDatatype="5" unbalanced="0"/>
    <cacheHierarchy uniqueName="[Applications].[FY2022 Request]" caption="FY2022 Request" attribute="1" defaultMemberUniqueName="[Applications].[FY2022 Request].[All]" allUniqueName="[Applications].[FY2022 Request].[All]" dimensionUniqueName="[Applications]" displayFolder="" count="0" memberValueDatatype="5" unbalanced="0"/>
    <cacheHierarchy uniqueName="[Applications].[LookupKey]" caption="LookupKey" attribute="1" defaultMemberUniqueName="[Applications].[LookupKey].[All]" allUniqueName="[Applications].[LookupKey].[All]" dimensionUniqueName="[Applications]" displayFolder="" count="0" memberValueDatatype="130" unbalanced="0"/>
    <cacheHierarchy uniqueName="[Scores].[Organization Name]" caption="Organization Name" attribute="1" defaultMemberUniqueName="[Scores].[Organization Name].[All]" allUniqueName="[Scores].[Organization Name].[All]" dimensionUniqueName="[Scores]" displayFolder="" count="2" memberValueDatatype="130" unbalanced="0">
      <fieldsUsage count="2">
        <fieldUsage x="-1"/>
        <fieldUsage x="0"/>
      </fieldsUsage>
    </cacheHierarchy>
    <cacheHierarchy uniqueName="[Scores].[Project Name]" caption="Project Name" attribute="1" defaultMemberUniqueName="[Scores].[Project Name].[All]" allUniqueName="[Scores].[Project Name].[All]" dimensionUniqueName="[Scores]" displayFolder="" count="2" memberValueDatatype="130" unbalanced="0">
      <fieldsUsage count="2">
        <fieldUsage x="-1"/>
        <fieldUsage x="1"/>
      </fieldsUsage>
    </cacheHierarchy>
    <cacheHierarchy uniqueName="[Scores].[Need]" caption="Need" attribute="1" defaultMemberUniqueName="[Scores].[Need].[All]" allUniqueName="[Scores].[Need].[All]" dimensionUniqueName="[Scores]" displayFolder="" count="0" memberValueDatatype="20" unbalanced="0"/>
    <cacheHierarchy uniqueName="[Scores].[Project Plan]" caption="Project Plan" attribute="1" defaultMemberUniqueName="[Scores].[Project Plan].[All]" allUniqueName="[Scores].[Project Plan].[All]" dimensionUniqueName="[Scores]" displayFolder="" count="0" memberValueDatatype="20" unbalanced="0"/>
    <cacheHierarchy uniqueName="[Scores].[Proposed Results]" caption="Proposed Results" attribute="1" defaultMemberUniqueName="[Scores].[Proposed Results].[All]" allUniqueName="[Scores].[Proposed Results].[All]" dimensionUniqueName="[Scores]" displayFolder="" count="0" memberValueDatatype="20" unbalanced="0"/>
    <cacheHierarchy uniqueName="[Scores].[Capacity]" caption="Capacity" attribute="1" defaultMemberUniqueName="[Scores].[Capacity].[All]" allUniqueName="[Scores].[Capacity].[All]" dimensionUniqueName="[Scores]" displayFolder="" count="0" memberValueDatatype="20" unbalanced="0"/>
    <cacheHierarchy uniqueName="[Scores].[Equity]" caption="Equity" attribute="1" defaultMemberUniqueName="[Scores].[Equity].[All]" allUniqueName="[Scores].[Equity].[All]" dimensionUniqueName="[Scores]" displayFolder="" count="0" memberValueDatatype="20" unbalanced="0"/>
    <cacheHierarchy uniqueName="[Scores].[Budget]" caption="Budget" attribute="1" defaultMemberUniqueName="[Scores].[Budget].[All]" allUniqueName="[Scores].[Budget].[All]" dimensionUniqueName="[Scores]" displayFolder="" count="0" memberValueDatatype="20" unbalanced="0"/>
    <cacheHierarchy uniqueName="[Scores].[Overall]" caption="Overall" attribute="1" defaultMemberUniqueName="[Scores].[Overall].[All]" allUniqueName="[Scores].[Overall].[All]" dimensionUniqueName="[Scores]" displayFolder="" count="0" memberValueDatatype="20" unbalanced="0"/>
    <cacheHierarchy uniqueName="[Scores].[Score Percentage]" caption="Score Percentage" attribute="1" defaultMemberUniqueName="[Scores].[Score Percentage].[All]" allUniqueName="[Scores].[Score Percentage].[All]" dimensionUniqueName="[Scores]" displayFolder="" count="0" memberValueDatatype="5" unbalanced="0"/>
    <cacheHierarchy uniqueName="[Scores].[LookupKey]" caption="LookupKey" attribute="1" defaultMemberUniqueName="[Scores].[LookupKey].[All]" allUniqueName="[Scores].[LookupKey].[All]" dimensionUniqueName="[Scores]" displayFolder="" count="0" memberValueDatatype="130" unbalanced="0"/>
    <cacheHierarchy uniqueName="[Scores].[FY21 Grant $'s]" caption="FY21 Grant $'s" attribute="1" defaultMemberUniqueName="[Scores].[FY21 Grant $'s].[All]" allUniqueName="[Scores].[FY21 Grant $'s].[All]" dimensionUniqueName="[Scores]" displayFolder="" count="0" memberValueDatatype="5" unbalanced="0"/>
    <cacheHierarchy uniqueName="[Scores].[FY22 Request]" caption="FY22 Request" attribute="1" defaultMemberUniqueName="[Scores].[FY22 Request].[All]" allUniqueName="[Scores].[FY22 Request].[All]" dimensionUniqueName="[Scores]" displayFolder="" count="0" memberValueDatatype="5" unbalanced="0"/>
    <cacheHierarchy uniqueName="[Scores].[Total Pts Calc]" caption="Total Pts Calc" attribute="1" defaultMemberUniqueName="[Scores].[Total Pts Calc].[All]" allUniqueName="[Scores].[Total Pts Calc].[All]" dimensionUniqueName="[Scores]" displayFolder="" count="0" memberValueDatatype="20" unbalanced="0"/>
    <cacheHierarchy uniqueName="[Scores].[Scoring Count]" caption="Scoring Count" attribute="1" defaultMemberUniqueName="[Scores].[Scoring Count].[All]" allUniqueName="[Scores].[Scoring Count].[All]" dimensionUniqueName="[Scores]" displayFolder="" count="0" memberValueDatatype="20" unbalanced="0"/>
    <cacheHierarchy uniqueName="[Scores].[Max Possible Pts]" caption="Max Possible Pts" attribute="1" defaultMemberUniqueName="[Scores].[Max Possible Pts].[All]" allUniqueName="[Scores].[Max Possible Pts].[All]" dimensionUniqueName="[Scores]" displayFolder="" count="0" memberValueDatatype="20" unbalanced="0"/>
    <cacheHierarchy uniqueName="[Scores].[Total Points]" caption="Total Points" attribute="1" defaultMemberUniqueName="[Scores].[Total Points].[All]" allUniqueName="[Scores].[Total Points].[All]" dimensionUniqueName="[Scores]" displayFolder="" count="0" memberValueDatatype="20" unbalanced="0" hidden="1"/>
    <cacheHierarchy uniqueName="[Measures].[Sum of Equity 2]" caption="Sum of Equity 2" measure="1" displayFolder="" measureGroup="Score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Budget 2]" caption="Sum of Budget 2" measure="1" displayFolder="" measureGroup="Scores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Overall 2]" caption="Sum of Overall 2" measure="1" displayFolder="" measureGroup="Score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Capacity 2]" caption="Sum of Capacity 2" measure="1" displayFolder="" measureGroup="Scores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posed Results 2]" caption="Sum of Proposed Results 2" measure="1" displayFolder="" measureGroup="Scores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Project Plan 2]" caption="Sum of Project Plan 2" measure="1" displayFolder="" measureGroup="Scores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Need 2]" caption="Sum of Need 2" measure="1" displayFolder="" measureGroup="Scores" count="0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coring Count]" caption="Sum of Scoring Count" measure="1" displayFolder="" measureGroup="Scores" count="0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 of Total Pts Calc 2]" caption="Sum of Total Pts Calc 2" measure="1" displayFolder="" measureGroup="Scores" count="0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 of FY21 Grant $'s]" caption="Sum of FY21 Grant $'s" measure="1" displayFolder="" measureGroup="Scores" count="0"/>
    <cacheHierarchy uniqueName="[Measures].[Sum of FY22 Request]" caption="Sum of FY22 Request" measure="1" displayFolder="" measureGroup="Scores" count="0" oneField="1">
      <fieldsUsage count="1">
        <fieldUsage x="2"/>
      </fieldsUsage>
    </cacheHierarchy>
    <cacheHierarchy uniqueName="[Measures].[Sum of Overall]" caption="Sum of Overall" measure="1" displayFolder="" measureGroup="Scores" count="0"/>
    <cacheHierarchy uniqueName="[Measures].[Sum of Budget]" caption="Sum of Budget" measure="1" displayFolder="" measureGroup="Scores" count="0"/>
    <cacheHierarchy uniqueName="[Measures].[Sum of Equity]" caption="Sum of Equity" measure="1" displayFolder="" measureGroup="Scores" count="0"/>
    <cacheHierarchy uniqueName="[Measures].[Sum of Capacity]" caption="Sum of Capacity" measure="1" displayFolder="" measureGroup="Scores" count="0"/>
    <cacheHierarchy uniqueName="[Measures].[Sum of Proposed Results]" caption="Sum of Proposed Results" measure="1" displayFolder="" measureGroup="Scores" count="0"/>
    <cacheHierarchy uniqueName="[Measures].[Sum of Project Plan]" caption="Sum of Project Plan" measure="1" displayFolder="" measureGroup="Scores" count="0"/>
    <cacheHierarchy uniqueName="[Measures].[Sum of Need]" caption="Sum of Need" measure="1" displayFolder="" measureGroup="Scores" count="0"/>
    <cacheHierarchy uniqueName="[Measures].[Sum of Total Pts Calc]" caption="Sum of Total Pts Calc" measure="1" displayFolder="" measureGroup="Scores" count="0"/>
    <cacheHierarchy uniqueName="[Measures].[Sum of Max Possible Pts]" caption="Sum of Max Possible Pts" measure="1" displayFolder="" measureGroup="Scores" count="0"/>
    <cacheHierarchy uniqueName="[Measures].[Score %]" caption="Score %" measure="1" displayFolder="" measureGroup="Scores" count="0" oneField="1">
      <fieldsUsage count="1">
        <fieldUsage x="10"/>
      </fieldsUsage>
    </cacheHierarchy>
    <cacheHierarchy uniqueName="[Measures].[Equity Max Score]" caption="Equity Max Score" measure="1" displayFolder="" measureGroup="Scores" count="0"/>
    <cacheHierarchy uniqueName="[Measures].[Equity %]" caption="Equity %" measure="1" displayFolder="" measureGroup="Scores" count="0" oneField="1">
      <fieldsUsage count="1">
        <fieldUsage x="7"/>
      </fieldsUsage>
    </cacheHierarchy>
    <cacheHierarchy uniqueName="[Measures].[Row Count]" caption="Row Count" measure="1" displayFolder="" measureGroup="Scores" count="0"/>
    <cacheHierarchy uniqueName="[Measures].[Equity Row Count]" caption="Equity Row Count" measure="1" displayFolder="" measureGroup="Scores" count="0"/>
    <cacheHierarchy uniqueName="[Measures].[Total Pts Row Count]" caption="Total Pts Row Count" measure="1" displayFolder="" measureGroup="Scores" count="0"/>
    <cacheHierarchy uniqueName="[Measures].[Budget Max Score]" caption="Budget Max Score" measure="1" displayFolder="" measureGroup="Scores" count="0"/>
    <cacheHierarchy uniqueName="[Measures].[Buget %]" caption="Buget %" measure="1" displayFolder="" measureGroup="Scores" count="0" oneField="1">
      <fieldsUsage count="1">
        <fieldUsage x="8"/>
      </fieldsUsage>
    </cacheHierarchy>
    <cacheHierarchy uniqueName="[Measures].[Capacity Max Score]" caption="Capacity Max Score" measure="1" displayFolder="" measureGroup="Scores" count="0"/>
    <cacheHierarchy uniqueName="[Measures].[Capacity %]" caption="Capacity %" measure="1" displayFolder="" measureGroup="Scores" count="0" oneField="1">
      <fieldsUsage count="1">
        <fieldUsage x="6"/>
      </fieldsUsage>
    </cacheHierarchy>
    <cacheHierarchy uniqueName="[Measures].[Overall Max Score]" caption="Overall Max Score" measure="1" displayFolder="" measureGroup="Scores" count="0"/>
    <cacheHierarchy uniqueName="[Measures].[Overall %]" caption="Overall %" measure="1" displayFolder="" measureGroup="Scores" count="0" oneField="1">
      <fieldsUsage count="1">
        <fieldUsage x="9"/>
      </fieldsUsage>
    </cacheHierarchy>
    <cacheHierarchy uniqueName="[Measures].[Results Max Score]" caption="Results Max Score" measure="1" displayFolder="" measureGroup="Scores" count="0"/>
    <cacheHierarchy uniqueName="[Measures].[Results %]" caption="Results %" measure="1" displayFolder="" measureGroup="Scores" count="0" oneField="1">
      <fieldsUsage count="1">
        <fieldUsage x="5"/>
      </fieldsUsage>
    </cacheHierarchy>
    <cacheHierarchy uniqueName="[Measures].[Plan Max Score]" caption="Plan Max Score" measure="1" displayFolder="" measureGroup="Scores" count="0"/>
    <cacheHierarchy uniqueName="[Measures].[Plan %]" caption="Plan %" measure="1" displayFolder="" measureGroup="Scores" count="0" oneField="1">
      <fieldsUsage count="1">
        <fieldUsage x="4"/>
      </fieldsUsage>
    </cacheHierarchy>
    <cacheHierarchy uniqueName="[Measures].[Need Max Score]" caption="Need Max Score" measure="1" displayFolder="" measureGroup="Scores" count="0"/>
    <cacheHierarchy uniqueName="[Measures].[Need %]" caption="Need %" measure="1" displayFolder="" measureGroup="Scores" count="0" oneField="1">
      <fieldsUsage count="1">
        <fieldUsage x="3"/>
      </fieldsUsage>
    </cacheHierarchy>
    <cacheHierarchy uniqueName="[Measures].[Max. Pts]" caption="Max. Pts" measure="1" displayFolder="" measureGroup="Scores" count="0"/>
    <cacheHierarchy uniqueName="[Measures].[Min. Pts]" caption="Min. Pts" measure="1" displayFolder="" measureGroup="Scores" count="0"/>
    <cacheHierarchy uniqueName="[Measures].[# Scoring]" caption="# Scoring" measure="1" displayFolder="" measureGroup="Scores" count="0"/>
    <cacheHierarchy uniqueName="[Measures].[__XL_Count Scores]" caption="__XL_Count Scores" measure="1" displayFolder="" measureGroup="Scores" count="0" hidden="1"/>
    <cacheHierarchy uniqueName="[Measures].[__XL_Count Applications]" caption="__XL_Count Applications" measure="1" displayFolder="" measureGroup="Applications" count="0" hidden="1"/>
    <cacheHierarchy uniqueName="[Measures].[__No measures defined]" caption="__No measures defined" measure="1" displayFolder="" count="0" hidden="1"/>
  </cacheHierarchies>
  <kpis count="0"/>
  <dimensions count="3">
    <dimension name="Applications" uniqueName="[Applications]" caption="Applications"/>
    <dimension measure="1" name="Measures" uniqueName="[Measures]" caption="Measures"/>
    <dimension name="Scores" uniqueName="[Scores]" caption="Scores"/>
  </dimensions>
  <measureGroups count="2">
    <measureGroup name="Applications" caption="Applications"/>
    <measureGroup name="Scores" caption="Score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Burnett Walz" refreshedDate="44302.684297453707" backgroundQuery="1" createdVersion="6" refreshedVersion="6" minRefreshableVersion="3" recordCount="0" supportSubquery="1" supportAdvancedDrill="1">
  <cacheSource type="external" connectionId="3"/>
  <cacheFields count="8">
    <cacheField name="[Scores].[Organization Name].[Organization Name]" caption="Organization Name" numFmtId="0" hierarchy="5" level="1">
      <sharedItems count="17">
        <s v="Asheville City Schools"/>
        <s v="Asheville Creative Arts"/>
        <s v="Buncombe County Partnership for Children"/>
        <s v="Buncombe County Schools"/>
        <s v="Buncombe Partnership for Children"/>
        <s v="Colaborativa La Milpa"/>
        <s v="Community Action Opportunities"/>
        <s v="Eliada Homes, Inc"/>
        <s v="Evolve Early Learning"/>
        <s v="F I R S T"/>
        <s v="Irene Wortham Center"/>
        <s v="Rainbow Community School"/>
        <s v="Read to Succeed"/>
        <s v="Southwestern Child Development"/>
        <s v="Swannanoa Valley Child Care Council (Donald S Collins Early Learning Center)"/>
        <s v="The Christine Avery Learning Center"/>
        <s v="YWCA of Asheville and Western North Carolina"/>
      </sharedItems>
    </cacheField>
    <cacheField name="[Scores].[Project Name].[Project Name]" caption="Project Name" numFmtId="0" hierarchy="6" level="1">
      <sharedItems count="22">
        <s v="Expanding High-Quality Early Childhood Education within Asheville City Schools and Local Communities"/>
        <s v="To Support an Innovative Partnership Between ACA Teaching Artists and Early Childhood Educators"/>
        <s v="Early Childhood Systems Coordination &amp; Single Portal of Entry Implementation"/>
        <s v="Increasing Access to High-Quality Early Care and Education at Emma Elementary School"/>
        <s v="  Child Care Resources: Professional and Systems Development Project"/>
        <s v="Early Childhood Teacher Workforce Development Program"/>
        <s v="Staffed Family Child Care Network to Increase FCCH slots"/>
        <s v="PODER Emma ECE Collaborative Network"/>
        <s v="Boost Buncombe Children, A school-day school-year Pre-Kindergarten Project at Johnston Elementary"/>
        <s v="Boost Buncombe Families, A Full-Day Full-Year Pre-Kindergarten Program at the Lonnie D Burton Center"/>
        <s v="Boost Buncombe Families, Providing Full-Day Full-Year Services for existing Head Start Children"/>
        <s v="We're Different and the Same!"/>
        <s v="Eliada Child Development Center"/>
        <s v="Together We Rise at Evolve Early Learning"/>
        <s v="Behavior Support Initiative (BSI)"/>
        <s v="Early Learning Center Program Enhancement"/>
        <s v="Rainbow Community School Early Childhood Program Expansion: Funding for a transitional kindergarten"/>
        <s v="Community-Powered Literacy | Family Engagement and Kindergarten Readiness"/>
        <s v="Valley Child Development"/>
        <s v="Promoting and Enhancing Growth"/>
        <s v="Advancing And Expanding Early Childhood Education (AAEECE)"/>
        <s v="YWCA Empowerment Child Care"/>
      </sharedItems>
    </cacheField>
    <cacheField name="[Measures].[Sum of FY21 Grant $'s]" caption="Sum of FY21 Grant $'s" numFmtId="0" hierarchy="31" level="32767"/>
    <cacheField name="[Measures].[Sum of FY22 Request]" caption="Sum of FY22 Request" numFmtId="0" hierarchy="32" level="32767"/>
    <cacheField name="[Measures].[Max. Pts]" caption="Max. Pts" numFmtId="0" hierarchy="60" level="32767"/>
    <cacheField name="[Measures].[Min. Pts]" caption="Min. Pts" numFmtId="0" hierarchy="61" level="32767"/>
    <cacheField name="[Measures].[Score %]" caption="Score %" numFmtId="0" hierarchy="42" level="32767"/>
    <cacheField name="[Measures].[Sum of Total Pts Calc 2]" caption="Sum of Total Pts Calc 2" numFmtId="0" hierarchy="30" level="32767"/>
  </cacheFields>
  <cacheHierarchies count="66">
    <cacheHierarchy uniqueName="[Applications].[Organization Name]" caption="Organization Name" attribute="1" defaultMemberUniqueName="[Applications].[Organization Name].[All]" allUniqueName="[Applications].[Organization Name].[All]" dimensionUniqueName="[Applications]" displayFolder="" count="0" memberValueDatatype="130" unbalanced="0"/>
    <cacheHierarchy uniqueName="[Applications].[Project Name]" caption="Project Name" attribute="1" defaultMemberUniqueName="[Applications].[Project Name].[All]" allUniqueName="[Applications].[Project Name].[All]" dimensionUniqueName="[Applications]" displayFolder="" count="0" memberValueDatatype="130" unbalanced="0"/>
    <cacheHierarchy uniqueName="[Applications].[FY2021 Grant]" caption="FY2021 Grant" attribute="1" defaultMemberUniqueName="[Applications].[FY2021 Grant].[All]" allUniqueName="[Applications].[FY2021 Grant].[All]" dimensionUniqueName="[Applications]" displayFolder="" count="0" memberValueDatatype="5" unbalanced="0"/>
    <cacheHierarchy uniqueName="[Applications].[FY2022 Request]" caption="FY2022 Request" attribute="1" defaultMemberUniqueName="[Applications].[FY2022 Request].[All]" allUniqueName="[Applications].[FY2022 Request].[All]" dimensionUniqueName="[Applications]" displayFolder="" count="0" memberValueDatatype="5" unbalanced="0"/>
    <cacheHierarchy uniqueName="[Applications].[LookupKey]" caption="LookupKey" attribute="1" defaultMemberUniqueName="[Applications].[LookupKey].[All]" allUniqueName="[Applications].[LookupKey].[All]" dimensionUniqueName="[Applications]" displayFolder="" count="0" memberValueDatatype="130" unbalanced="0"/>
    <cacheHierarchy uniqueName="[Scores].[Organization Name]" caption="Organization Name" attribute="1" defaultMemberUniqueName="[Scores].[Organization Name].[All]" allUniqueName="[Scores].[Organization Name].[All]" dimensionUniqueName="[Scores]" displayFolder="" count="2" memberValueDatatype="130" unbalanced="0">
      <fieldsUsage count="2">
        <fieldUsage x="-1"/>
        <fieldUsage x="0"/>
      </fieldsUsage>
    </cacheHierarchy>
    <cacheHierarchy uniqueName="[Scores].[Project Name]" caption="Project Name" attribute="1" defaultMemberUniqueName="[Scores].[Project Name].[All]" allUniqueName="[Scores].[Project Name].[All]" dimensionUniqueName="[Scores]" displayFolder="" count="2" memberValueDatatype="130" unbalanced="0">
      <fieldsUsage count="2">
        <fieldUsage x="-1"/>
        <fieldUsage x="1"/>
      </fieldsUsage>
    </cacheHierarchy>
    <cacheHierarchy uniqueName="[Scores].[Need]" caption="Need" attribute="1" defaultMemberUniqueName="[Scores].[Need].[All]" allUniqueName="[Scores].[Need].[All]" dimensionUniqueName="[Scores]" displayFolder="" count="0" memberValueDatatype="20" unbalanced="0"/>
    <cacheHierarchy uniqueName="[Scores].[Project Plan]" caption="Project Plan" attribute="1" defaultMemberUniqueName="[Scores].[Project Plan].[All]" allUniqueName="[Scores].[Project Plan].[All]" dimensionUniqueName="[Scores]" displayFolder="" count="0" memberValueDatatype="20" unbalanced="0"/>
    <cacheHierarchy uniqueName="[Scores].[Proposed Results]" caption="Proposed Results" attribute="1" defaultMemberUniqueName="[Scores].[Proposed Results].[All]" allUniqueName="[Scores].[Proposed Results].[All]" dimensionUniqueName="[Scores]" displayFolder="" count="0" memberValueDatatype="20" unbalanced="0"/>
    <cacheHierarchy uniqueName="[Scores].[Capacity]" caption="Capacity" attribute="1" defaultMemberUniqueName="[Scores].[Capacity].[All]" allUniqueName="[Scores].[Capacity].[All]" dimensionUniqueName="[Scores]" displayFolder="" count="0" memberValueDatatype="20" unbalanced="0"/>
    <cacheHierarchy uniqueName="[Scores].[Equity]" caption="Equity" attribute="1" defaultMemberUniqueName="[Scores].[Equity].[All]" allUniqueName="[Scores].[Equity].[All]" dimensionUniqueName="[Scores]" displayFolder="" count="0" memberValueDatatype="20" unbalanced="0"/>
    <cacheHierarchy uniqueName="[Scores].[Budget]" caption="Budget" attribute="1" defaultMemberUniqueName="[Scores].[Budget].[All]" allUniqueName="[Scores].[Budget].[All]" dimensionUniqueName="[Scores]" displayFolder="" count="0" memberValueDatatype="20" unbalanced="0"/>
    <cacheHierarchy uniqueName="[Scores].[Overall]" caption="Overall" attribute="1" defaultMemberUniqueName="[Scores].[Overall].[All]" allUniqueName="[Scores].[Overall].[All]" dimensionUniqueName="[Scores]" displayFolder="" count="0" memberValueDatatype="20" unbalanced="0"/>
    <cacheHierarchy uniqueName="[Scores].[Score Percentage]" caption="Score Percentage" attribute="1" defaultMemberUniqueName="[Scores].[Score Percentage].[All]" allUniqueName="[Scores].[Score Percentage].[All]" dimensionUniqueName="[Scores]" displayFolder="" count="0" memberValueDatatype="5" unbalanced="0"/>
    <cacheHierarchy uniqueName="[Scores].[LookupKey]" caption="LookupKey" attribute="1" defaultMemberUniqueName="[Scores].[LookupKey].[All]" allUniqueName="[Scores].[LookupKey].[All]" dimensionUniqueName="[Scores]" displayFolder="" count="0" memberValueDatatype="130" unbalanced="0"/>
    <cacheHierarchy uniqueName="[Scores].[FY21 Grant $'s]" caption="FY21 Grant $'s" attribute="1" defaultMemberUniqueName="[Scores].[FY21 Grant $'s].[All]" allUniqueName="[Scores].[FY21 Grant $'s].[All]" dimensionUniqueName="[Scores]" displayFolder="" count="0" memberValueDatatype="5" unbalanced="0"/>
    <cacheHierarchy uniqueName="[Scores].[FY22 Request]" caption="FY22 Request" attribute="1" defaultMemberUniqueName="[Scores].[FY22 Request].[All]" allUniqueName="[Scores].[FY22 Request].[All]" dimensionUniqueName="[Scores]" displayFolder="" count="0" memberValueDatatype="5" unbalanced="0"/>
    <cacheHierarchy uniqueName="[Scores].[Total Pts Calc]" caption="Total Pts Calc" attribute="1" defaultMemberUniqueName="[Scores].[Total Pts Calc].[All]" allUniqueName="[Scores].[Total Pts Calc].[All]" dimensionUniqueName="[Scores]" displayFolder="" count="0" memberValueDatatype="20" unbalanced="0"/>
    <cacheHierarchy uniqueName="[Scores].[Scoring Count]" caption="Scoring Count" attribute="1" defaultMemberUniqueName="[Scores].[Scoring Count].[All]" allUniqueName="[Scores].[Scoring Count].[All]" dimensionUniqueName="[Scores]" displayFolder="" count="0" memberValueDatatype="20" unbalanced="0"/>
    <cacheHierarchy uniqueName="[Scores].[Max Possible Pts]" caption="Max Possible Pts" attribute="1" defaultMemberUniqueName="[Scores].[Max Possible Pts].[All]" allUniqueName="[Scores].[Max Possible Pts].[All]" dimensionUniqueName="[Scores]" displayFolder="" count="0" memberValueDatatype="20" unbalanced="0"/>
    <cacheHierarchy uniqueName="[Scores].[Total Points]" caption="Total Points" attribute="1" defaultMemberUniqueName="[Scores].[Total Points].[All]" allUniqueName="[Scores].[Total Points].[All]" dimensionUniqueName="[Scores]" displayFolder="" count="0" memberValueDatatype="20" unbalanced="0" hidden="1"/>
    <cacheHierarchy uniqueName="[Measures].[Sum of Equity 2]" caption="Sum of Equity 2" measure="1" displayFolder="" measureGroup="Score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Budget 2]" caption="Sum of Budget 2" measure="1" displayFolder="" measureGroup="Scores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Overall 2]" caption="Sum of Overall 2" measure="1" displayFolder="" measureGroup="Score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Capacity 2]" caption="Sum of Capacity 2" measure="1" displayFolder="" measureGroup="Scores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posed Results 2]" caption="Sum of Proposed Results 2" measure="1" displayFolder="" measureGroup="Scores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Project Plan 2]" caption="Sum of Project Plan 2" measure="1" displayFolder="" measureGroup="Scores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Need 2]" caption="Sum of Need 2" measure="1" displayFolder="" measureGroup="Scores" count="0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coring Count]" caption="Sum of Scoring Count" measure="1" displayFolder="" measureGroup="Scores" count="0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 of Total Pts Calc 2]" caption="Sum of Total Pts Calc 2" measure="1" displayFolder="" measureGroup="Scores" count="0" oneField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 of FY21 Grant $'s]" caption="Sum of FY21 Grant $'s" measure="1" displayFolder="" measureGroup="Scores" count="0" oneField="1">
      <fieldsUsage count="1">
        <fieldUsage x="2"/>
      </fieldsUsage>
    </cacheHierarchy>
    <cacheHierarchy uniqueName="[Measures].[Sum of FY22 Request]" caption="Sum of FY22 Request" measure="1" displayFolder="" measureGroup="Scores" count="0" oneField="1">
      <fieldsUsage count="1">
        <fieldUsage x="3"/>
      </fieldsUsage>
    </cacheHierarchy>
    <cacheHierarchy uniqueName="[Measures].[Sum of Overall]" caption="Sum of Overall" measure="1" displayFolder="" measureGroup="Scores" count="0"/>
    <cacheHierarchy uniqueName="[Measures].[Sum of Budget]" caption="Sum of Budget" measure="1" displayFolder="" measureGroup="Scores" count="0"/>
    <cacheHierarchy uniqueName="[Measures].[Sum of Equity]" caption="Sum of Equity" measure="1" displayFolder="" measureGroup="Scores" count="0"/>
    <cacheHierarchy uniqueName="[Measures].[Sum of Capacity]" caption="Sum of Capacity" measure="1" displayFolder="" measureGroup="Scores" count="0"/>
    <cacheHierarchy uniqueName="[Measures].[Sum of Proposed Results]" caption="Sum of Proposed Results" measure="1" displayFolder="" measureGroup="Scores" count="0"/>
    <cacheHierarchy uniqueName="[Measures].[Sum of Project Plan]" caption="Sum of Project Plan" measure="1" displayFolder="" measureGroup="Scores" count="0"/>
    <cacheHierarchy uniqueName="[Measures].[Sum of Need]" caption="Sum of Need" measure="1" displayFolder="" measureGroup="Scores" count="0"/>
    <cacheHierarchy uniqueName="[Measures].[Sum of Total Pts Calc]" caption="Sum of Total Pts Calc" measure="1" displayFolder="" measureGroup="Scores" count="0"/>
    <cacheHierarchy uniqueName="[Measures].[Sum of Max Possible Pts]" caption="Sum of Max Possible Pts" measure="1" displayFolder="" measureGroup="Scores" count="0"/>
    <cacheHierarchy uniqueName="[Measures].[Score %]" caption="Score %" measure="1" displayFolder="" measureGroup="Scores" count="0" oneField="1">
      <fieldsUsage count="1">
        <fieldUsage x="6"/>
      </fieldsUsage>
    </cacheHierarchy>
    <cacheHierarchy uniqueName="[Measures].[Equity Max Score]" caption="Equity Max Score" measure="1" displayFolder="" measureGroup="Scores" count="0"/>
    <cacheHierarchy uniqueName="[Measures].[Equity %]" caption="Equity %" measure="1" displayFolder="" measureGroup="Scores" count="0"/>
    <cacheHierarchy uniqueName="[Measures].[Row Count]" caption="Row Count" measure="1" displayFolder="" measureGroup="Scores" count="0"/>
    <cacheHierarchy uniqueName="[Measures].[Equity Row Count]" caption="Equity Row Count" measure="1" displayFolder="" measureGroup="Scores" count="0"/>
    <cacheHierarchy uniqueName="[Measures].[Total Pts Row Count]" caption="Total Pts Row Count" measure="1" displayFolder="" measureGroup="Scores" count="0"/>
    <cacheHierarchy uniqueName="[Measures].[Budget Max Score]" caption="Budget Max Score" measure="1" displayFolder="" measureGroup="Scores" count="0"/>
    <cacheHierarchy uniqueName="[Measures].[Buget %]" caption="Buget %" measure="1" displayFolder="" measureGroup="Scores" count="0"/>
    <cacheHierarchy uniqueName="[Measures].[Capacity Max Score]" caption="Capacity Max Score" measure="1" displayFolder="" measureGroup="Scores" count="0"/>
    <cacheHierarchy uniqueName="[Measures].[Capacity %]" caption="Capacity %" measure="1" displayFolder="" measureGroup="Scores" count="0"/>
    <cacheHierarchy uniqueName="[Measures].[Overall Max Score]" caption="Overall Max Score" measure="1" displayFolder="" measureGroup="Scores" count="0"/>
    <cacheHierarchy uniqueName="[Measures].[Overall %]" caption="Overall %" measure="1" displayFolder="" measureGroup="Scores" count="0"/>
    <cacheHierarchy uniqueName="[Measures].[Results Max Score]" caption="Results Max Score" measure="1" displayFolder="" measureGroup="Scores" count="0"/>
    <cacheHierarchy uniqueName="[Measures].[Results %]" caption="Results %" measure="1" displayFolder="" measureGroup="Scores" count="0"/>
    <cacheHierarchy uniqueName="[Measures].[Plan Max Score]" caption="Plan Max Score" measure="1" displayFolder="" measureGroup="Scores" count="0"/>
    <cacheHierarchy uniqueName="[Measures].[Plan %]" caption="Plan %" measure="1" displayFolder="" measureGroup="Scores" count="0"/>
    <cacheHierarchy uniqueName="[Measures].[Need Max Score]" caption="Need Max Score" measure="1" displayFolder="" measureGroup="Scores" count="0"/>
    <cacheHierarchy uniqueName="[Measures].[Need %]" caption="Need %" measure="1" displayFolder="" measureGroup="Scores" count="0"/>
    <cacheHierarchy uniqueName="[Measures].[Max. Pts]" caption="Max. Pts" measure="1" displayFolder="" measureGroup="Scores" count="0" oneField="1">
      <fieldsUsage count="1">
        <fieldUsage x="4"/>
      </fieldsUsage>
    </cacheHierarchy>
    <cacheHierarchy uniqueName="[Measures].[Min. Pts]" caption="Min. Pts" measure="1" displayFolder="" measureGroup="Scores" count="0" oneField="1">
      <fieldsUsage count="1">
        <fieldUsage x="5"/>
      </fieldsUsage>
    </cacheHierarchy>
    <cacheHierarchy uniqueName="[Measures].[# Scoring]" caption="# Scoring" measure="1" displayFolder="" measureGroup="Scores" count="0"/>
    <cacheHierarchy uniqueName="[Measures].[__XL_Count Scores]" caption="__XL_Count Scores" measure="1" displayFolder="" measureGroup="Scores" count="0" hidden="1"/>
    <cacheHierarchy uniqueName="[Measures].[__XL_Count Applications]" caption="__XL_Count Applications" measure="1" displayFolder="" measureGroup="Applications" count="0" hidden="1"/>
    <cacheHierarchy uniqueName="[Measures].[__No measures defined]" caption="__No measures defined" measure="1" displayFolder="" count="0" hidden="1"/>
  </cacheHierarchies>
  <kpis count="0"/>
  <dimensions count="3">
    <dimension name="Applications" uniqueName="[Applications]" caption="Applications"/>
    <dimension measure="1" name="Measures" uniqueName="[Measures]" caption="Measures"/>
    <dimension name="Scores" uniqueName="[Scores]" caption="Scores"/>
  </dimensions>
  <measureGroups count="2">
    <measureGroup name="Applications" caption="Applications"/>
    <measureGroup name="Scores" caption="Score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Burnett Walz" refreshedDate="44302.684300231478" backgroundQuery="1" createdVersion="6" refreshedVersion="6" minRefreshableVersion="3" recordCount="0" supportSubquery="1" supportAdvancedDrill="1">
  <cacheSource type="external" connectionId="3"/>
  <cacheFields count="4">
    <cacheField name="[Scores].[Organization Name].[Organization Name]" caption="Organization Name" numFmtId="0" hierarchy="5" level="1">
      <sharedItems count="17">
        <s v="Buncombe Partnership for Children"/>
        <s v="The Christine Avery Learning Center"/>
        <s v="F I R S T"/>
        <s v="Community Action Opportunities"/>
        <s v="Read to Succeed"/>
        <s v="Buncombe County Partnership for Children"/>
        <s v="Irene Wortham Center"/>
        <s v="Eliada Homes, Inc"/>
        <s v="Asheville City Schools"/>
        <s v="Buncombe County Schools"/>
        <s v="Colaborativa La Milpa"/>
        <s v="Swannanoa Valley Child Care Council (Donald S Collins Early Learning Center)"/>
        <s v="Rainbow Community School"/>
        <s v="Asheville Creative Arts"/>
        <s v="Evolve Early Learning"/>
        <s v="Southwestern Child Development"/>
        <s v="YWCA of Asheville and Western North Carolina"/>
      </sharedItems>
    </cacheField>
    <cacheField name="[Scores].[Project Name].[Project Name]" caption="Project Name" numFmtId="0" hierarchy="6" level="1">
      <sharedItems count="22">
        <s v="  Child Care Resources: Professional and Systems Development Project"/>
        <s v="Advancing And Expanding Early Childhood Education (AAEECE)"/>
        <s v="Behavior Support Initiative (BSI)"/>
        <s v="Boost Buncombe Children, A school-day school-year Pre-Kindergarten Project at Johnston Elementary"/>
        <s v="Boost Buncombe Families, A Full-Day Full-Year Pre-Kindergarten Program at the Lonnie D Burton Center"/>
        <s v="Boost Buncombe Families, Providing Full-Day Full-Year Services for existing Head Start Children"/>
        <s v="Community-Powered Literacy | Family Engagement and Kindergarten Readiness"/>
        <s v="Early Childhood Systems Coordination &amp; Single Portal of Entry Implementation"/>
        <s v="Early Childhood Teacher Workforce Development Program"/>
        <s v="Early Learning Center Program Enhancement"/>
        <s v="Eliada Child Development Center"/>
        <s v="Expanding High-Quality Early Childhood Education within Asheville City Schools and Local Communities"/>
        <s v="Increasing Access to High-Quality Early Care and Education at Emma Elementary School"/>
        <s v="PODER Emma ECE Collaborative Network"/>
        <s v="Promoting and Enhancing Growth"/>
        <s v="Rainbow Community School Early Childhood Program Expansion: Funding for a transitional kindergarten"/>
        <s v="Staffed Family Child Care Network to Increase FCCH slots"/>
        <s v="To Support an Innovative Partnership Between ACA Teaching Artists and Early Childhood Educators"/>
        <s v="Together We Rise at Evolve Early Learning"/>
        <s v="Valley Child Development"/>
        <s v="We're Different and the Same!"/>
        <s v="YWCA Empowerment Child Care"/>
      </sharedItems>
    </cacheField>
    <cacheField name="[Measures].[Score %]" caption="Score %" numFmtId="0" hierarchy="42" level="32767"/>
    <cacheField name="[Measures].[Sum of Total Pts Calc 2]" caption="Sum of Total Pts Calc 2" numFmtId="0" hierarchy="30" level="32767"/>
  </cacheFields>
  <cacheHierarchies count="66">
    <cacheHierarchy uniqueName="[Applications].[Organization Name]" caption="Organization Name" attribute="1" defaultMemberUniqueName="[Applications].[Organization Name].[All]" allUniqueName="[Applications].[Organization Name].[All]" dimensionUniqueName="[Applications]" displayFolder="" count="0" memberValueDatatype="130" unbalanced="0"/>
    <cacheHierarchy uniqueName="[Applications].[Project Name]" caption="Project Name" attribute="1" defaultMemberUniqueName="[Applications].[Project Name].[All]" allUniqueName="[Applications].[Project Name].[All]" dimensionUniqueName="[Applications]" displayFolder="" count="0" memberValueDatatype="130" unbalanced="0"/>
    <cacheHierarchy uniqueName="[Applications].[FY2021 Grant]" caption="FY2021 Grant" attribute="1" defaultMemberUniqueName="[Applications].[FY2021 Grant].[All]" allUniqueName="[Applications].[FY2021 Grant].[All]" dimensionUniqueName="[Applications]" displayFolder="" count="0" memberValueDatatype="5" unbalanced="0"/>
    <cacheHierarchy uniqueName="[Applications].[FY2022 Request]" caption="FY2022 Request" attribute="1" defaultMemberUniqueName="[Applications].[FY2022 Request].[All]" allUniqueName="[Applications].[FY2022 Request].[All]" dimensionUniqueName="[Applications]" displayFolder="" count="0" memberValueDatatype="5" unbalanced="0"/>
    <cacheHierarchy uniqueName="[Applications].[LookupKey]" caption="LookupKey" attribute="1" defaultMemberUniqueName="[Applications].[LookupKey].[All]" allUniqueName="[Applications].[LookupKey].[All]" dimensionUniqueName="[Applications]" displayFolder="" count="0" memberValueDatatype="130" unbalanced="0"/>
    <cacheHierarchy uniqueName="[Scores].[Organization Name]" caption="Organization Name" attribute="1" defaultMemberUniqueName="[Scores].[Organization Name].[All]" allUniqueName="[Scores].[Organization Name].[All]" dimensionUniqueName="[Scores]" displayFolder="" count="2" memberValueDatatype="130" unbalanced="0">
      <fieldsUsage count="2">
        <fieldUsage x="-1"/>
        <fieldUsage x="0"/>
      </fieldsUsage>
    </cacheHierarchy>
    <cacheHierarchy uniqueName="[Scores].[Project Name]" caption="Project Name" attribute="1" defaultMemberUniqueName="[Scores].[Project Name].[All]" allUniqueName="[Scores].[Project Name].[All]" dimensionUniqueName="[Scores]" displayFolder="" count="2" memberValueDatatype="130" unbalanced="0">
      <fieldsUsage count="2">
        <fieldUsage x="-1"/>
        <fieldUsage x="1"/>
      </fieldsUsage>
    </cacheHierarchy>
    <cacheHierarchy uniqueName="[Scores].[Need]" caption="Need" attribute="1" defaultMemberUniqueName="[Scores].[Need].[All]" allUniqueName="[Scores].[Need].[All]" dimensionUniqueName="[Scores]" displayFolder="" count="0" memberValueDatatype="20" unbalanced="0"/>
    <cacheHierarchy uniqueName="[Scores].[Project Plan]" caption="Project Plan" attribute="1" defaultMemberUniqueName="[Scores].[Project Plan].[All]" allUniqueName="[Scores].[Project Plan].[All]" dimensionUniqueName="[Scores]" displayFolder="" count="0" memberValueDatatype="20" unbalanced="0"/>
    <cacheHierarchy uniqueName="[Scores].[Proposed Results]" caption="Proposed Results" attribute="1" defaultMemberUniqueName="[Scores].[Proposed Results].[All]" allUniqueName="[Scores].[Proposed Results].[All]" dimensionUniqueName="[Scores]" displayFolder="" count="0" memberValueDatatype="20" unbalanced="0"/>
    <cacheHierarchy uniqueName="[Scores].[Capacity]" caption="Capacity" attribute="1" defaultMemberUniqueName="[Scores].[Capacity].[All]" allUniqueName="[Scores].[Capacity].[All]" dimensionUniqueName="[Scores]" displayFolder="" count="0" memberValueDatatype="20" unbalanced="0"/>
    <cacheHierarchy uniqueName="[Scores].[Equity]" caption="Equity" attribute="1" defaultMemberUniqueName="[Scores].[Equity].[All]" allUniqueName="[Scores].[Equity].[All]" dimensionUniqueName="[Scores]" displayFolder="" count="0" memberValueDatatype="20" unbalanced="0"/>
    <cacheHierarchy uniqueName="[Scores].[Budget]" caption="Budget" attribute="1" defaultMemberUniqueName="[Scores].[Budget].[All]" allUniqueName="[Scores].[Budget].[All]" dimensionUniqueName="[Scores]" displayFolder="" count="0" memberValueDatatype="20" unbalanced="0"/>
    <cacheHierarchy uniqueName="[Scores].[Overall]" caption="Overall" attribute="1" defaultMemberUniqueName="[Scores].[Overall].[All]" allUniqueName="[Scores].[Overall].[All]" dimensionUniqueName="[Scores]" displayFolder="" count="0" memberValueDatatype="20" unbalanced="0"/>
    <cacheHierarchy uniqueName="[Scores].[Score Percentage]" caption="Score Percentage" attribute="1" defaultMemberUniqueName="[Scores].[Score Percentage].[All]" allUniqueName="[Scores].[Score Percentage].[All]" dimensionUniqueName="[Scores]" displayFolder="" count="0" memberValueDatatype="5" unbalanced="0"/>
    <cacheHierarchy uniqueName="[Scores].[LookupKey]" caption="LookupKey" attribute="1" defaultMemberUniqueName="[Scores].[LookupKey].[All]" allUniqueName="[Scores].[LookupKey].[All]" dimensionUniqueName="[Scores]" displayFolder="" count="0" memberValueDatatype="130" unbalanced="0"/>
    <cacheHierarchy uniqueName="[Scores].[FY21 Grant $'s]" caption="FY21 Grant $'s" attribute="1" defaultMemberUniqueName="[Scores].[FY21 Grant $'s].[All]" allUniqueName="[Scores].[FY21 Grant $'s].[All]" dimensionUniqueName="[Scores]" displayFolder="" count="0" memberValueDatatype="5" unbalanced="0"/>
    <cacheHierarchy uniqueName="[Scores].[FY22 Request]" caption="FY22 Request" attribute="1" defaultMemberUniqueName="[Scores].[FY22 Request].[All]" allUniqueName="[Scores].[FY22 Request].[All]" dimensionUniqueName="[Scores]" displayFolder="" count="0" memberValueDatatype="5" unbalanced="0"/>
    <cacheHierarchy uniqueName="[Scores].[Total Pts Calc]" caption="Total Pts Calc" attribute="1" defaultMemberUniqueName="[Scores].[Total Pts Calc].[All]" allUniqueName="[Scores].[Total Pts Calc].[All]" dimensionUniqueName="[Scores]" displayFolder="" count="0" memberValueDatatype="20" unbalanced="0"/>
    <cacheHierarchy uniqueName="[Scores].[Scoring Count]" caption="Scoring Count" attribute="1" defaultMemberUniqueName="[Scores].[Scoring Count].[All]" allUniqueName="[Scores].[Scoring Count].[All]" dimensionUniqueName="[Scores]" displayFolder="" count="0" memberValueDatatype="20" unbalanced="0"/>
    <cacheHierarchy uniqueName="[Scores].[Max Possible Pts]" caption="Max Possible Pts" attribute="1" defaultMemberUniqueName="[Scores].[Max Possible Pts].[All]" allUniqueName="[Scores].[Max Possible Pts].[All]" dimensionUniqueName="[Scores]" displayFolder="" count="0" memberValueDatatype="20" unbalanced="0"/>
    <cacheHierarchy uniqueName="[Scores].[Total Points]" caption="Total Points" attribute="1" defaultMemberUniqueName="[Scores].[Total Points].[All]" allUniqueName="[Scores].[Total Points].[All]" dimensionUniqueName="[Scores]" displayFolder="" count="0" memberValueDatatype="20" unbalanced="0" hidden="1"/>
    <cacheHierarchy uniqueName="[Measures].[Sum of Equity 2]" caption="Sum of Equity 2" measure="1" displayFolder="" measureGroup="Score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Budget 2]" caption="Sum of Budget 2" measure="1" displayFolder="" measureGroup="Scores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Overall 2]" caption="Sum of Overall 2" measure="1" displayFolder="" measureGroup="Score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Capacity 2]" caption="Sum of Capacity 2" measure="1" displayFolder="" measureGroup="Scores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posed Results 2]" caption="Sum of Proposed Results 2" measure="1" displayFolder="" measureGroup="Scores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Project Plan 2]" caption="Sum of Project Plan 2" measure="1" displayFolder="" measureGroup="Scores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Need 2]" caption="Sum of Need 2" measure="1" displayFolder="" measureGroup="Scores" count="0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coring Count]" caption="Sum of Scoring Count" measure="1" displayFolder="" measureGroup="Scores" count="0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 of Total Pts Calc 2]" caption="Sum of Total Pts Calc 2" measure="1" displayFolder="" measureGroup="Scores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 of FY21 Grant $'s]" caption="Sum of FY21 Grant $'s" measure="1" displayFolder="" measureGroup="Scores" count="0"/>
    <cacheHierarchy uniqueName="[Measures].[Sum of FY22 Request]" caption="Sum of FY22 Request" measure="1" displayFolder="" measureGroup="Scores" count="0"/>
    <cacheHierarchy uniqueName="[Measures].[Sum of Overall]" caption="Sum of Overall" measure="1" displayFolder="" measureGroup="Scores" count="0"/>
    <cacheHierarchy uniqueName="[Measures].[Sum of Budget]" caption="Sum of Budget" measure="1" displayFolder="" measureGroup="Scores" count="0"/>
    <cacheHierarchy uniqueName="[Measures].[Sum of Equity]" caption="Sum of Equity" measure="1" displayFolder="" measureGroup="Scores" count="0"/>
    <cacheHierarchy uniqueName="[Measures].[Sum of Capacity]" caption="Sum of Capacity" measure="1" displayFolder="" measureGroup="Scores" count="0"/>
    <cacheHierarchy uniqueName="[Measures].[Sum of Proposed Results]" caption="Sum of Proposed Results" measure="1" displayFolder="" measureGroup="Scores" count="0"/>
    <cacheHierarchy uniqueName="[Measures].[Sum of Project Plan]" caption="Sum of Project Plan" measure="1" displayFolder="" measureGroup="Scores" count="0"/>
    <cacheHierarchy uniqueName="[Measures].[Sum of Need]" caption="Sum of Need" measure="1" displayFolder="" measureGroup="Scores" count="0"/>
    <cacheHierarchy uniqueName="[Measures].[Sum of Total Pts Calc]" caption="Sum of Total Pts Calc" measure="1" displayFolder="" measureGroup="Scores" count="0"/>
    <cacheHierarchy uniqueName="[Measures].[Sum of Max Possible Pts]" caption="Sum of Max Possible Pts" measure="1" displayFolder="" measureGroup="Scores" count="0"/>
    <cacheHierarchy uniqueName="[Measures].[Score %]" caption="Score %" measure="1" displayFolder="" measureGroup="Scores" count="0" oneField="1">
      <fieldsUsage count="1">
        <fieldUsage x="2"/>
      </fieldsUsage>
    </cacheHierarchy>
    <cacheHierarchy uniqueName="[Measures].[Equity Max Score]" caption="Equity Max Score" measure="1" displayFolder="" measureGroup="Scores" count="0"/>
    <cacheHierarchy uniqueName="[Measures].[Equity %]" caption="Equity %" measure="1" displayFolder="" measureGroup="Scores" count="0"/>
    <cacheHierarchy uniqueName="[Measures].[Row Count]" caption="Row Count" measure="1" displayFolder="" measureGroup="Scores" count="0"/>
    <cacheHierarchy uniqueName="[Measures].[Equity Row Count]" caption="Equity Row Count" measure="1" displayFolder="" measureGroup="Scores" count="0"/>
    <cacheHierarchy uniqueName="[Measures].[Total Pts Row Count]" caption="Total Pts Row Count" measure="1" displayFolder="" measureGroup="Scores" count="0"/>
    <cacheHierarchy uniqueName="[Measures].[Budget Max Score]" caption="Budget Max Score" measure="1" displayFolder="" measureGroup="Scores" count="0"/>
    <cacheHierarchy uniqueName="[Measures].[Buget %]" caption="Buget %" measure="1" displayFolder="" measureGroup="Scores" count="0"/>
    <cacheHierarchy uniqueName="[Measures].[Capacity Max Score]" caption="Capacity Max Score" measure="1" displayFolder="" measureGroup="Scores" count="0"/>
    <cacheHierarchy uniqueName="[Measures].[Capacity %]" caption="Capacity %" measure="1" displayFolder="" measureGroup="Scores" count="0"/>
    <cacheHierarchy uniqueName="[Measures].[Overall Max Score]" caption="Overall Max Score" measure="1" displayFolder="" measureGroup="Scores" count="0"/>
    <cacheHierarchy uniqueName="[Measures].[Overall %]" caption="Overall %" measure="1" displayFolder="" measureGroup="Scores" count="0"/>
    <cacheHierarchy uniqueName="[Measures].[Results Max Score]" caption="Results Max Score" measure="1" displayFolder="" measureGroup="Scores" count="0"/>
    <cacheHierarchy uniqueName="[Measures].[Results %]" caption="Results %" measure="1" displayFolder="" measureGroup="Scores" count="0"/>
    <cacheHierarchy uniqueName="[Measures].[Plan Max Score]" caption="Plan Max Score" measure="1" displayFolder="" measureGroup="Scores" count="0"/>
    <cacheHierarchy uniqueName="[Measures].[Plan %]" caption="Plan %" measure="1" displayFolder="" measureGroup="Scores" count="0"/>
    <cacheHierarchy uniqueName="[Measures].[Need Max Score]" caption="Need Max Score" measure="1" displayFolder="" measureGroup="Scores" count="0"/>
    <cacheHierarchy uniqueName="[Measures].[Need %]" caption="Need %" measure="1" displayFolder="" measureGroup="Scores" count="0"/>
    <cacheHierarchy uniqueName="[Measures].[Max. Pts]" caption="Max. Pts" measure="1" displayFolder="" measureGroup="Scores" count="0"/>
    <cacheHierarchy uniqueName="[Measures].[Min. Pts]" caption="Min. Pts" measure="1" displayFolder="" measureGroup="Scores" count="0"/>
    <cacheHierarchy uniqueName="[Measures].[# Scoring]" caption="# Scoring" measure="1" displayFolder="" measureGroup="Scores" count="0"/>
    <cacheHierarchy uniqueName="[Measures].[__XL_Count Scores]" caption="__XL_Count Scores" measure="1" displayFolder="" measureGroup="Scores" count="0" hidden="1"/>
    <cacheHierarchy uniqueName="[Measures].[__XL_Count Applications]" caption="__XL_Count Applications" measure="1" displayFolder="" measureGroup="Applications" count="0" hidden="1"/>
    <cacheHierarchy uniqueName="[Measures].[__No measures defined]" caption="__No measures defined" measure="1" displayFolder="" count="0" hidden="1"/>
  </cacheHierarchies>
  <kpis count="0"/>
  <dimensions count="3">
    <dimension name="Applications" uniqueName="[Applications]" caption="Applications"/>
    <dimension measure="1" name="Measures" uniqueName="[Measures]" caption="Measures"/>
    <dimension name="Scores" uniqueName="[Scores]" caption="Scores"/>
  </dimensions>
  <measureGroups count="2">
    <measureGroup name="Applications" caption="Applications"/>
    <measureGroup name="Scores" caption="Score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Burnett Walz" refreshedDate="44302.684307754629" backgroundQuery="1" createdVersion="6" refreshedVersion="6" minRefreshableVersion="3" recordCount="0" supportSubquery="1" supportAdvancedDrill="1">
  <cacheSource type="external" connectionId="3"/>
  <cacheFields count="6">
    <cacheField name="[Scores].[Organization Name].[Organization Name]" caption="Organization Name" numFmtId="0" hierarchy="5" level="1">
      <sharedItems count="17">
        <s v="Asheville City Schools"/>
        <s v="Asheville Creative Arts"/>
        <s v="Buncombe County Partnership for Children"/>
        <s v="Buncombe County Schools"/>
        <s v="Buncombe Partnership for Children"/>
        <s v="Colaborativa La Milpa"/>
        <s v="Community Action Opportunities"/>
        <s v="Eliada Homes, Inc"/>
        <s v="Evolve Early Learning"/>
        <s v="F I R S T"/>
        <s v="Irene Wortham Center"/>
        <s v="Rainbow Community School"/>
        <s v="Read to Succeed"/>
        <s v="Southwestern Child Development"/>
        <s v="Swannanoa Valley Child Care Council (Donald S Collins Early Learning Center)"/>
        <s v="The Christine Avery Learning Center"/>
        <s v="YWCA of Asheville and Western North Carolina"/>
      </sharedItems>
    </cacheField>
    <cacheField name="[Scores].[Project Name].[Project Name]" caption="Project Name" numFmtId="0" hierarchy="6" level="1">
      <sharedItems count="22">
        <s v="Expanding High-Quality Early Childhood Education within Asheville City Schools and Local Communities"/>
        <s v="To Support an Innovative Partnership Between ACA Teaching Artists and Early Childhood Educators"/>
        <s v="Early Childhood Systems Coordination &amp; Single Portal of Entry Implementation"/>
        <s v="Increasing Access to High-Quality Early Care and Education at Emma Elementary School"/>
        <s v="  Child Care Resources: Professional and Systems Development Project"/>
        <s v="Early Childhood Teacher Workforce Development Program"/>
        <s v="Staffed Family Child Care Network to Increase FCCH slots"/>
        <s v="PODER Emma ECE Collaborative Network"/>
        <s v="Boost Buncombe Children, A school-day school-year Pre-Kindergarten Project at Johnston Elementary"/>
        <s v="Boost Buncombe Families, A Full-Day Full-Year Pre-Kindergarten Program at the Lonnie D Burton Center"/>
        <s v="Boost Buncombe Families, Providing Full-Day Full-Year Services for existing Head Start Children"/>
        <s v="We're Different and the Same!"/>
        <s v="Eliada Child Development Center"/>
        <s v="Together We Rise at Evolve Early Learning"/>
        <s v="Behavior Support Initiative (BSI)"/>
        <s v="Early Learning Center Program Enhancement"/>
        <s v="Rainbow Community School Early Childhood Program Expansion: Funding for a transitional kindergarten"/>
        <s v="Community-Powered Literacy | Family Engagement and Kindergarten Readiness"/>
        <s v="Valley Child Development"/>
        <s v="Promoting and Enhancing Growth"/>
        <s v="Advancing And Expanding Early Childhood Education (AAEECE)"/>
        <s v="YWCA Empowerment Child Care"/>
      </sharedItems>
    </cacheField>
    <cacheField name="[Measures].[Sum of Total Pts Calc]" caption="Sum of Total Pts Calc" numFmtId="0" hierarchy="40" level="32767"/>
    <cacheField name="[Measures].[Sum of Max Possible Pts]" caption="Sum of Max Possible Pts" numFmtId="0" hierarchy="41" level="32767"/>
    <cacheField name="[Measures].[Score %]" caption="Score %" numFmtId="0" hierarchy="42" level="32767"/>
    <cacheField name="[Measures].[Sum of Scoring Count]" caption="Sum of Scoring Count" numFmtId="0" hierarchy="29" level="32767"/>
  </cacheFields>
  <cacheHierarchies count="66">
    <cacheHierarchy uniqueName="[Applications].[Organization Name]" caption="Organization Name" attribute="1" defaultMemberUniqueName="[Applications].[Organization Name].[All]" allUniqueName="[Applications].[Organization Name].[All]" dimensionUniqueName="[Applications]" displayFolder="" count="0" memberValueDatatype="130" unbalanced="0"/>
    <cacheHierarchy uniqueName="[Applications].[Project Name]" caption="Project Name" attribute="1" defaultMemberUniqueName="[Applications].[Project Name].[All]" allUniqueName="[Applications].[Project Name].[All]" dimensionUniqueName="[Applications]" displayFolder="" count="0" memberValueDatatype="130" unbalanced="0"/>
    <cacheHierarchy uniqueName="[Applications].[FY2021 Grant]" caption="FY2021 Grant" attribute="1" defaultMemberUniqueName="[Applications].[FY2021 Grant].[All]" allUniqueName="[Applications].[FY2021 Grant].[All]" dimensionUniqueName="[Applications]" displayFolder="" count="0" memberValueDatatype="5" unbalanced="0"/>
    <cacheHierarchy uniqueName="[Applications].[FY2022 Request]" caption="FY2022 Request" attribute="1" defaultMemberUniqueName="[Applications].[FY2022 Request].[All]" allUniqueName="[Applications].[FY2022 Request].[All]" dimensionUniqueName="[Applications]" displayFolder="" count="0" memberValueDatatype="5" unbalanced="0"/>
    <cacheHierarchy uniqueName="[Applications].[LookupKey]" caption="LookupKey" attribute="1" defaultMemberUniqueName="[Applications].[LookupKey].[All]" allUniqueName="[Applications].[LookupKey].[All]" dimensionUniqueName="[Applications]" displayFolder="" count="0" memberValueDatatype="130" unbalanced="0"/>
    <cacheHierarchy uniqueName="[Scores].[Organization Name]" caption="Organization Name" attribute="1" defaultMemberUniqueName="[Scores].[Organization Name].[All]" allUniqueName="[Scores].[Organization Name].[All]" dimensionUniqueName="[Scores]" displayFolder="" count="2" memberValueDatatype="130" unbalanced="0">
      <fieldsUsage count="2">
        <fieldUsage x="-1"/>
        <fieldUsage x="0"/>
      </fieldsUsage>
    </cacheHierarchy>
    <cacheHierarchy uniqueName="[Scores].[Project Name]" caption="Project Name" attribute="1" defaultMemberUniqueName="[Scores].[Project Name].[All]" allUniqueName="[Scores].[Project Name].[All]" dimensionUniqueName="[Scores]" displayFolder="" count="2" memberValueDatatype="130" unbalanced="0">
      <fieldsUsage count="2">
        <fieldUsage x="-1"/>
        <fieldUsage x="1"/>
      </fieldsUsage>
    </cacheHierarchy>
    <cacheHierarchy uniqueName="[Scores].[Need]" caption="Need" attribute="1" defaultMemberUniqueName="[Scores].[Need].[All]" allUniqueName="[Scores].[Need].[All]" dimensionUniqueName="[Scores]" displayFolder="" count="0" memberValueDatatype="20" unbalanced="0"/>
    <cacheHierarchy uniqueName="[Scores].[Project Plan]" caption="Project Plan" attribute="1" defaultMemberUniqueName="[Scores].[Project Plan].[All]" allUniqueName="[Scores].[Project Plan].[All]" dimensionUniqueName="[Scores]" displayFolder="" count="0" memberValueDatatype="20" unbalanced="0"/>
    <cacheHierarchy uniqueName="[Scores].[Proposed Results]" caption="Proposed Results" attribute="1" defaultMemberUniqueName="[Scores].[Proposed Results].[All]" allUniqueName="[Scores].[Proposed Results].[All]" dimensionUniqueName="[Scores]" displayFolder="" count="0" memberValueDatatype="20" unbalanced="0"/>
    <cacheHierarchy uniqueName="[Scores].[Capacity]" caption="Capacity" attribute="1" defaultMemberUniqueName="[Scores].[Capacity].[All]" allUniqueName="[Scores].[Capacity].[All]" dimensionUniqueName="[Scores]" displayFolder="" count="0" memberValueDatatype="20" unbalanced="0"/>
    <cacheHierarchy uniqueName="[Scores].[Equity]" caption="Equity" attribute="1" defaultMemberUniqueName="[Scores].[Equity].[All]" allUniqueName="[Scores].[Equity].[All]" dimensionUniqueName="[Scores]" displayFolder="" count="0" memberValueDatatype="20" unbalanced="0"/>
    <cacheHierarchy uniqueName="[Scores].[Budget]" caption="Budget" attribute="1" defaultMemberUniqueName="[Scores].[Budget].[All]" allUniqueName="[Scores].[Budget].[All]" dimensionUniqueName="[Scores]" displayFolder="" count="0" memberValueDatatype="20" unbalanced="0"/>
    <cacheHierarchy uniqueName="[Scores].[Overall]" caption="Overall" attribute="1" defaultMemberUniqueName="[Scores].[Overall].[All]" allUniqueName="[Scores].[Overall].[All]" dimensionUniqueName="[Scores]" displayFolder="" count="0" memberValueDatatype="20" unbalanced="0"/>
    <cacheHierarchy uniqueName="[Scores].[Score Percentage]" caption="Score Percentage" attribute="1" defaultMemberUniqueName="[Scores].[Score Percentage].[All]" allUniqueName="[Scores].[Score Percentage].[All]" dimensionUniqueName="[Scores]" displayFolder="" count="0" memberValueDatatype="5" unbalanced="0"/>
    <cacheHierarchy uniqueName="[Scores].[LookupKey]" caption="LookupKey" attribute="1" defaultMemberUniqueName="[Scores].[LookupKey].[All]" allUniqueName="[Scores].[LookupKey].[All]" dimensionUniqueName="[Scores]" displayFolder="" count="0" memberValueDatatype="130" unbalanced="0"/>
    <cacheHierarchy uniqueName="[Scores].[FY21 Grant $'s]" caption="FY21 Grant $'s" attribute="1" defaultMemberUniqueName="[Scores].[FY21 Grant $'s].[All]" allUniqueName="[Scores].[FY21 Grant $'s].[All]" dimensionUniqueName="[Scores]" displayFolder="" count="0" memberValueDatatype="5" unbalanced="0"/>
    <cacheHierarchy uniqueName="[Scores].[FY22 Request]" caption="FY22 Request" attribute="1" defaultMemberUniqueName="[Scores].[FY22 Request].[All]" allUniqueName="[Scores].[FY22 Request].[All]" dimensionUniqueName="[Scores]" displayFolder="" count="0" memberValueDatatype="5" unbalanced="0"/>
    <cacheHierarchy uniqueName="[Scores].[Total Pts Calc]" caption="Total Pts Calc" attribute="1" defaultMemberUniqueName="[Scores].[Total Pts Calc].[All]" allUniqueName="[Scores].[Total Pts Calc].[All]" dimensionUniqueName="[Scores]" displayFolder="" count="0" memberValueDatatype="20" unbalanced="0"/>
    <cacheHierarchy uniqueName="[Scores].[Scoring Count]" caption="Scoring Count" attribute="1" defaultMemberUniqueName="[Scores].[Scoring Count].[All]" allUniqueName="[Scores].[Scoring Count].[All]" dimensionUniqueName="[Scores]" displayFolder="" count="0" memberValueDatatype="20" unbalanced="0"/>
    <cacheHierarchy uniqueName="[Scores].[Max Possible Pts]" caption="Max Possible Pts" attribute="1" defaultMemberUniqueName="[Scores].[Max Possible Pts].[All]" allUniqueName="[Scores].[Max Possible Pts].[All]" dimensionUniqueName="[Scores]" displayFolder="" count="0" memberValueDatatype="20" unbalanced="0"/>
    <cacheHierarchy uniqueName="[Scores].[Total Points]" caption="Total Points" attribute="1" defaultMemberUniqueName="[Scores].[Total Points].[All]" allUniqueName="[Scores].[Total Points].[All]" dimensionUniqueName="[Scores]" displayFolder="" count="0" memberValueDatatype="20" unbalanced="0" hidden="1"/>
    <cacheHierarchy uniqueName="[Measures].[Sum of Equity 2]" caption="Sum of Equity 2" measure="1" displayFolder="" measureGroup="Score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Budget 2]" caption="Sum of Budget 2" measure="1" displayFolder="" measureGroup="Scores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Overall 2]" caption="Sum of Overall 2" measure="1" displayFolder="" measureGroup="Score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Capacity 2]" caption="Sum of Capacity 2" measure="1" displayFolder="" measureGroup="Scores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posed Results 2]" caption="Sum of Proposed Results 2" measure="1" displayFolder="" measureGroup="Scores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Project Plan 2]" caption="Sum of Project Plan 2" measure="1" displayFolder="" measureGroup="Scores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Need 2]" caption="Sum of Need 2" measure="1" displayFolder="" measureGroup="Scores" count="0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coring Count]" caption="Sum of Scoring Count" measure="1" displayFolder="" measureGroup="Scores" count="0" oneField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 of Total Pts Calc 2]" caption="Sum of Total Pts Calc 2" measure="1" displayFolder="" measureGroup="Scores" count="0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 of FY21 Grant $'s]" caption="Sum of FY21 Grant $'s" measure="1" displayFolder="" measureGroup="Scores" count="0"/>
    <cacheHierarchy uniqueName="[Measures].[Sum of FY22 Request]" caption="Sum of FY22 Request" measure="1" displayFolder="" measureGroup="Scores" count="0"/>
    <cacheHierarchy uniqueName="[Measures].[Sum of Overall]" caption="Sum of Overall" measure="1" displayFolder="" measureGroup="Scores" count="0"/>
    <cacheHierarchy uniqueName="[Measures].[Sum of Budget]" caption="Sum of Budget" measure="1" displayFolder="" measureGroup="Scores" count="0"/>
    <cacheHierarchy uniqueName="[Measures].[Sum of Equity]" caption="Sum of Equity" measure="1" displayFolder="" measureGroup="Scores" count="0"/>
    <cacheHierarchy uniqueName="[Measures].[Sum of Capacity]" caption="Sum of Capacity" measure="1" displayFolder="" measureGroup="Scores" count="0"/>
    <cacheHierarchy uniqueName="[Measures].[Sum of Proposed Results]" caption="Sum of Proposed Results" measure="1" displayFolder="" measureGroup="Scores" count="0"/>
    <cacheHierarchy uniqueName="[Measures].[Sum of Project Plan]" caption="Sum of Project Plan" measure="1" displayFolder="" measureGroup="Scores" count="0"/>
    <cacheHierarchy uniqueName="[Measures].[Sum of Need]" caption="Sum of Need" measure="1" displayFolder="" measureGroup="Scores" count="0"/>
    <cacheHierarchy uniqueName="[Measures].[Sum of Total Pts Calc]" caption="Sum of Total Pts Calc" measure="1" displayFolder="" measureGroup="Scores" count="0" oneField="1">
      <fieldsUsage count="1">
        <fieldUsage x="2"/>
      </fieldsUsage>
    </cacheHierarchy>
    <cacheHierarchy uniqueName="[Measures].[Sum of Max Possible Pts]" caption="Sum of Max Possible Pts" measure="1" displayFolder="" measureGroup="Scores" count="0" oneField="1">
      <fieldsUsage count="1">
        <fieldUsage x="3"/>
      </fieldsUsage>
    </cacheHierarchy>
    <cacheHierarchy uniqueName="[Measures].[Score %]" caption="Score %" measure="1" displayFolder="" measureGroup="Scores" count="0" oneField="1">
      <fieldsUsage count="1">
        <fieldUsage x="4"/>
      </fieldsUsage>
    </cacheHierarchy>
    <cacheHierarchy uniqueName="[Measures].[Equity Max Score]" caption="Equity Max Score" measure="1" displayFolder="" measureGroup="Scores" count="0"/>
    <cacheHierarchy uniqueName="[Measures].[Equity %]" caption="Equity %" measure="1" displayFolder="" measureGroup="Scores" count="0"/>
    <cacheHierarchy uniqueName="[Measures].[Row Count]" caption="Row Count" measure="1" displayFolder="" measureGroup="Scores" count="0"/>
    <cacheHierarchy uniqueName="[Measures].[Equity Row Count]" caption="Equity Row Count" measure="1" displayFolder="" measureGroup="Scores" count="0"/>
    <cacheHierarchy uniqueName="[Measures].[Total Pts Row Count]" caption="Total Pts Row Count" measure="1" displayFolder="" measureGroup="Scores" count="0"/>
    <cacheHierarchy uniqueName="[Measures].[Budget Max Score]" caption="Budget Max Score" measure="1" displayFolder="" measureGroup="Scores" count="0"/>
    <cacheHierarchy uniqueName="[Measures].[Buget %]" caption="Buget %" measure="1" displayFolder="" measureGroup="Scores" count="0"/>
    <cacheHierarchy uniqueName="[Measures].[Capacity Max Score]" caption="Capacity Max Score" measure="1" displayFolder="" measureGroup="Scores" count="0"/>
    <cacheHierarchy uniqueName="[Measures].[Capacity %]" caption="Capacity %" measure="1" displayFolder="" measureGroup="Scores" count="0"/>
    <cacheHierarchy uniqueName="[Measures].[Overall Max Score]" caption="Overall Max Score" measure="1" displayFolder="" measureGroup="Scores" count="0"/>
    <cacheHierarchy uniqueName="[Measures].[Overall %]" caption="Overall %" measure="1" displayFolder="" measureGroup="Scores" count="0"/>
    <cacheHierarchy uniqueName="[Measures].[Results Max Score]" caption="Results Max Score" measure="1" displayFolder="" measureGroup="Scores" count="0"/>
    <cacheHierarchy uniqueName="[Measures].[Results %]" caption="Results %" measure="1" displayFolder="" measureGroup="Scores" count="0"/>
    <cacheHierarchy uniqueName="[Measures].[Plan Max Score]" caption="Plan Max Score" measure="1" displayFolder="" measureGroup="Scores" count="0"/>
    <cacheHierarchy uniqueName="[Measures].[Plan %]" caption="Plan %" measure="1" displayFolder="" measureGroup="Scores" count="0"/>
    <cacheHierarchy uniqueName="[Measures].[Need Max Score]" caption="Need Max Score" measure="1" displayFolder="" measureGroup="Scores" count="0"/>
    <cacheHierarchy uniqueName="[Measures].[Need %]" caption="Need %" measure="1" displayFolder="" measureGroup="Scores" count="0"/>
    <cacheHierarchy uniqueName="[Measures].[Max. Pts]" caption="Max. Pts" measure="1" displayFolder="" measureGroup="Scores" count="0"/>
    <cacheHierarchy uniqueName="[Measures].[Min. Pts]" caption="Min. Pts" measure="1" displayFolder="" measureGroup="Scores" count="0"/>
    <cacheHierarchy uniqueName="[Measures].[# Scoring]" caption="# Scoring" measure="1" displayFolder="" measureGroup="Scores" count="0"/>
    <cacheHierarchy uniqueName="[Measures].[__XL_Count Scores]" caption="__XL_Count Scores" measure="1" displayFolder="" measureGroup="Scores" count="0" hidden="1"/>
    <cacheHierarchy uniqueName="[Measures].[__XL_Count Applications]" caption="__XL_Count Applications" measure="1" displayFolder="" measureGroup="Applications" count="0" hidden="1"/>
    <cacheHierarchy uniqueName="[Measures].[__No measures defined]" caption="__No measures defined" measure="1" displayFolder="" count="0" hidden="1"/>
  </cacheHierarchies>
  <kpis count="0"/>
  <dimensions count="3">
    <dimension name="Applications" uniqueName="[Applications]" caption="Applications"/>
    <dimension measure="1" name="Measures" uniqueName="[Measures]" caption="Measures"/>
    <dimension name="Scores" uniqueName="[Scores]" caption="Scores"/>
  </dimensions>
  <measureGroups count="2">
    <measureGroup name="Applications" caption="Applications"/>
    <measureGroup name="Scores" caption="Score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Burnett Walz" refreshedDate="44302.684309606484" backgroundQuery="1" createdVersion="6" refreshedVersion="6" minRefreshableVersion="3" recordCount="0" supportSubquery="1" supportAdvancedDrill="1">
  <cacheSource type="external" connectionId="3"/>
  <cacheFields count="6">
    <cacheField name="[Scores].[Organization Name].[Organization Name]" caption="Organization Name" numFmtId="0" hierarchy="5" level="1">
      <sharedItems count="17">
        <s v="Asheville City Schools"/>
        <s v="Asheville Creative Arts"/>
        <s v="Buncombe County Partnership for Children"/>
        <s v="Buncombe County Schools"/>
        <s v="Buncombe Partnership for Children"/>
        <s v="Colaborativa La Milpa"/>
        <s v="Community Action Opportunities"/>
        <s v="Eliada Homes, Inc"/>
        <s v="Evolve Early Learning"/>
        <s v="F I R S T"/>
        <s v="Irene Wortham Center"/>
        <s v="Rainbow Community School"/>
        <s v="Read to Succeed"/>
        <s v="Southwestern Child Development"/>
        <s v="Swannanoa Valley Child Care Council (Donald S Collins Early Learning Center)"/>
        <s v="The Christine Avery Learning Center"/>
        <s v="YWCA of Asheville and Western North Carolina"/>
      </sharedItems>
    </cacheField>
    <cacheField name="[Scores].[Project Name].[Project Name]" caption="Project Name" numFmtId="0" hierarchy="6" level="1">
      <sharedItems count="22">
        <s v="Expanding High-Quality Early Childhood Education within Asheville City Schools and Local Communities"/>
        <s v="To Support an Innovative Partnership Between ACA Teaching Artists and Early Childhood Educators"/>
        <s v="Early Childhood Systems Coordination &amp; Single Portal of Entry Implementation"/>
        <s v="Increasing Access to High-Quality Early Care and Education at Emma Elementary School"/>
        <s v="  Child Care Resources: Professional and Systems Development Project"/>
        <s v="Early Childhood Teacher Workforce Development Program"/>
        <s v="Staffed Family Child Care Network to Increase FCCH slots"/>
        <s v="PODER Emma ECE Collaborative Network"/>
        <s v="Boost Buncombe Children, A school-day school-year Pre-Kindergarten Project at Johnston Elementary"/>
        <s v="Boost Buncombe Families, A Full-Day Full-Year Pre-Kindergarten Program at the Lonnie D Burton Center"/>
        <s v="Boost Buncombe Families, Providing Full-Day Full-Year Services for existing Head Start Children"/>
        <s v="We're Different and the Same!"/>
        <s v="Eliada Child Development Center"/>
        <s v="Together We Rise at Evolve Early Learning"/>
        <s v="Behavior Support Initiative (BSI)"/>
        <s v="Early Learning Center Program Enhancement"/>
        <s v="Rainbow Community School Early Childhood Program Expansion: Funding for a transitional kindergarten"/>
        <s v="Community-Powered Literacy | Family Engagement and Kindergarten Readiness"/>
        <s v="Valley Child Development"/>
        <s v="Promoting and Enhancing Growth"/>
        <s v="Advancing And Expanding Early Childhood Education (AAEECE)"/>
        <s v="YWCA Empowerment Child Care"/>
      </sharedItems>
    </cacheField>
    <cacheField name="[Measures].[Equity Max Score]" caption="Equity Max Score" numFmtId="0" hierarchy="43" level="32767"/>
    <cacheField name="[Measures].[Sum of Equity 2]" caption="Sum of Equity 2" numFmtId="0" hierarchy="22" level="32767"/>
    <cacheField name="[Measures].[Equity %]" caption="Equity %" numFmtId="0" hierarchy="44" level="32767"/>
    <cacheField name="[Measures].[Equity Row Count]" caption="Equity Row Count" numFmtId="0" hierarchy="46" level="32767"/>
  </cacheFields>
  <cacheHierarchies count="66">
    <cacheHierarchy uniqueName="[Applications].[Organization Name]" caption="Organization Name" attribute="1" defaultMemberUniqueName="[Applications].[Organization Name].[All]" allUniqueName="[Applications].[Organization Name].[All]" dimensionUniqueName="[Applications]" displayFolder="" count="0" memberValueDatatype="130" unbalanced="0"/>
    <cacheHierarchy uniqueName="[Applications].[Project Name]" caption="Project Name" attribute="1" defaultMemberUniqueName="[Applications].[Project Name].[All]" allUniqueName="[Applications].[Project Name].[All]" dimensionUniqueName="[Applications]" displayFolder="" count="0" memberValueDatatype="130" unbalanced="0"/>
    <cacheHierarchy uniqueName="[Applications].[FY2021 Grant]" caption="FY2021 Grant" attribute="1" defaultMemberUniqueName="[Applications].[FY2021 Grant].[All]" allUniqueName="[Applications].[FY2021 Grant].[All]" dimensionUniqueName="[Applications]" displayFolder="" count="0" memberValueDatatype="5" unbalanced="0"/>
    <cacheHierarchy uniqueName="[Applications].[FY2022 Request]" caption="FY2022 Request" attribute="1" defaultMemberUniqueName="[Applications].[FY2022 Request].[All]" allUniqueName="[Applications].[FY2022 Request].[All]" dimensionUniqueName="[Applications]" displayFolder="" count="0" memberValueDatatype="5" unbalanced="0"/>
    <cacheHierarchy uniqueName="[Applications].[LookupKey]" caption="LookupKey" attribute="1" defaultMemberUniqueName="[Applications].[LookupKey].[All]" allUniqueName="[Applications].[LookupKey].[All]" dimensionUniqueName="[Applications]" displayFolder="" count="0" memberValueDatatype="130" unbalanced="0"/>
    <cacheHierarchy uniqueName="[Scores].[Organization Name]" caption="Organization Name" attribute="1" defaultMemberUniqueName="[Scores].[Organization Name].[All]" allUniqueName="[Scores].[Organization Name].[All]" dimensionUniqueName="[Scores]" displayFolder="" count="2" memberValueDatatype="130" unbalanced="0">
      <fieldsUsage count="2">
        <fieldUsage x="-1"/>
        <fieldUsage x="0"/>
      </fieldsUsage>
    </cacheHierarchy>
    <cacheHierarchy uniqueName="[Scores].[Project Name]" caption="Project Name" attribute="1" defaultMemberUniqueName="[Scores].[Project Name].[All]" allUniqueName="[Scores].[Project Name].[All]" dimensionUniqueName="[Scores]" displayFolder="" count="2" memberValueDatatype="130" unbalanced="0">
      <fieldsUsage count="2">
        <fieldUsage x="-1"/>
        <fieldUsage x="1"/>
      </fieldsUsage>
    </cacheHierarchy>
    <cacheHierarchy uniqueName="[Scores].[Need]" caption="Need" attribute="1" defaultMemberUniqueName="[Scores].[Need].[All]" allUniqueName="[Scores].[Need].[All]" dimensionUniqueName="[Scores]" displayFolder="" count="0" memberValueDatatype="20" unbalanced="0"/>
    <cacheHierarchy uniqueName="[Scores].[Project Plan]" caption="Project Plan" attribute="1" defaultMemberUniqueName="[Scores].[Project Plan].[All]" allUniqueName="[Scores].[Project Plan].[All]" dimensionUniqueName="[Scores]" displayFolder="" count="0" memberValueDatatype="20" unbalanced="0"/>
    <cacheHierarchy uniqueName="[Scores].[Proposed Results]" caption="Proposed Results" attribute="1" defaultMemberUniqueName="[Scores].[Proposed Results].[All]" allUniqueName="[Scores].[Proposed Results].[All]" dimensionUniqueName="[Scores]" displayFolder="" count="0" memberValueDatatype="20" unbalanced="0"/>
    <cacheHierarchy uniqueName="[Scores].[Capacity]" caption="Capacity" attribute="1" defaultMemberUniqueName="[Scores].[Capacity].[All]" allUniqueName="[Scores].[Capacity].[All]" dimensionUniqueName="[Scores]" displayFolder="" count="0" memberValueDatatype="20" unbalanced="0"/>
    <cacheHierarchy uniqueName="[Scores].[Equity]" caption="Equity" attribute="1" defaultMemberUniqueName="[Scores].[Equity].[All]" allUniqueName="[Scores].[Equity].[All]" dimensionUniqueName="[Scores]" displayFolder="" count="0" memberValueDatatype="20" unbalanced="0"/>
    <cacheHierarchy uniqueName="[Scores].[Budget]" caption="Budget" attribute="1" defaultMemberUniqueName="[Scores].[Budget].[All]" allUniqueName="[Scores].[Budget].[All]" dimensionUniqueName="[Scores]" displayFolder="" count="0" memberValueDatatype="20" unbalanced="0"/>
    <cacheHierarchy uniqueName="[Scores].[Overall]" caption="Overall" attribute="1" defaultMemberUniqueName="[Scores].[Overall].[All]" allUniqueName="[Scores].[Overall].[All]" dimensionUniqueName="[Scores]" displayFolder="" count="0" memberValueDatatype="20" unbalanced="0"/>
    <cacheHierarchy uniqueName="[Scores].[Score Percentage]" caption="Score Percentage" attribute="1" defaultMemberUniqueName="[Scores].[Score Percentage].[All]" allUniqueName="[Scores].[Score Percentage].[All]" dimensionUniqueName="[Scores]" displayFolder="" count="0" memberValueDatatype="5" unbalanced="0"/>
    <cacheHierarchy uniqueName="[Scores].[LookupKey]" caption="LookupKey" attribute="1" defaultMemberUniqueName="[Scores].[LookupKey].[All]" allUniqueName="[Scores].[LookupKey].[All]" dimensionUniqueName="[Scores]" displayFolder="" count="0" memberValueDatatype="130" unbalanced="0"/>
    <cacheHierarchy uniqueName="[Scores].[FY21 Grant $'s]" caption="FY21 Grant $'s" attribute="1" defaultMemberUniqueName="[Scores].[FY21 Grant $'s].[All]" allUniqueName="[Scores].[FY21 Grant $'s].[All]" dimensionUniqueName="[Scores]" displayFolder="" count="0" memberValueDatatype="5" unbalanced="0"/>
    <cacheHierarchy uniqueName="[Scores].[FY22 Request]" caption="FY22 Request" attribute="1" defaultMemberUniqueName="[Scores].[FY22 Request].[All]" allUniqueName="[Scores].[FY22 Request].[All]" dimensionUniqueName="[Scores]" displayFolder="" count="0" memberValueDatatype="5" unbalanced="0"/>
    <cacheHierarchy uniqueName="[Scores].[Total Pts Calc]" caption="Total Pts Calc" attribute="1" defaultMemberUniqueName="[Scores].[Total Pts Calc].[All]" allUniqueName="[Scores].[Total Pts Calc].[All]" dimensionUniqueName="[Scores]" displayFolder="" count="0" memberValueDatatype="20" unbalanced="0"/>
    <cacheHierarchy uniqueName="[Scores].[Scoring Count]" caption="Scoring Count" attribute="1" defaultMemberUniqueName="[Scores].[Scoring Count].[All]" allUniqueName="[Scores].[Scoring Count].[All]" dimensionUniqueName="[Scores]" displayFolder="" count="0" memberValueDatatype="20" unbalanced="0"/>
    <cacheHierarchy uniqueName="[Scores].[Max Possible Pts]" caption="Max Possible Pts" attribute="1" defaultMemberUniqueName="[Scores].[Max Possible Pts].[All]" allUniqueName="[Scores].[Max Possible Pts].[All]" dimensionUniqueName="[Scores]" displayFolder="" count="0" memberValueDatatype="20" unbalanced="0"/>
    <cacheHierarchy uniqueName="[Scores].[Total Points]" caption="Total Points" attribute="1" defaultMemberUniqueName="[Scores].[Total Points].[All]" allUniqueName="[Scores].[Total Points].[All]" dimensionUniqueName="[Scores]" displayFolder="" count="0" memberValueDatatype="20" unbalanced="0" hidden="1"/>
    <cacheHierarchy uniqueName="[Measures].[Sum of Equity 2]" caption="Sum of Equity 2" measure="1" displayFolder="" measureGroup="Scores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Budget 2]" caption="Sum of Budget 2" measure="1" displayFolder="" measureGroup="Scores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Overall 2]" caption="Sum of Overall 2" measure="1" displayFolder="" measureGroup="Score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Capacity 2]" caption="Sum of Capacity 2" measure="1" displayFolder="" measureGroup="Scores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posed Results 2]" caption="Sum of Proposed Results 2" measure="1" displayFolder="" measureGroup="Scores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Project Plan 2]" caption="Sum of Project Plan 2" measure="1" displayFolder="" measureGroup="Scores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Need 2]" caption="Sum of Need 2" measure="1" displayFolder="" measureGroup="Scores" count="0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coring Count]" caption="Sum of Scoring Count" measure="1" displayFolder="" measureGroup="Scores" count="0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 of Total Pts Calc 2]" caption="Sum of Total Pts Calc 2" measure="1" displayFolder="" measureGroup="Scores" count="0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 of FY21 Grant $'s]" caption="Sum of FY21 Grant $'s" measure="1" displayFolder="" measureGroup="Scores" count="0"/>
    <cacheHierarchy uniqueName="[Measures].[Sum of FY22 Request]" caption="Sum of FY22 Request" measure="1" displayFolder="" measureGroup="Scores" count="0"/>
    <cacheHierarchy uniqueName="[Measures].[Sum of Overall]" caption="Sum of Overall" measure="1" displayFolder="" measureGroup="Scores" count="0"/>
    <cacheHierarchy uniqueName="[Measures].[Sum of Budget]" caption="Sum of Budget" measure="1" displayFolder="" measureGroup="Scores" count="0"/>
    <cacheHierarchy uniqueName="[Measures].[Sum of Equity]" caption="Sum of Equity" measure="1" displayFolder="" measureGroup="Scores" count="0"/>
    <cacheHierarchy uniqueName="[Measures].[Sum of Capacity]" caption="Sum of Capacity" measure="1" displayFolder="" measureGroup="Scores" count="0"/>
    <cacheHierarchy uniqueName="[Measures].[Sum of Proposed Results]" caption="Sum of Proposed Results" measure="1" displayFolder="" measureGroup="Scores" count="0"/>
    <cacheHierarchy uniqueName="[Measures].[Sum of Project Plan]" caption="Sum of Project Plan" measure="1" displayFolder="" measureGroup="Scores" count="0"/>
    <cacheHierarchy uniqueName="[Measures].[Sum of Need]" caption="Sum of Need" measure="1" displayFolder="" measureGroup="Scores" count="0"/>
    <cacheHierarchy uniqueName="[Measures].[Sum of Total Pts Calc]" caption="Sum of Total Pts Calc" measure="1" displayFolder="" measureGroup="Scores" count="0"/>
    <cacheHierarchy uniqueName="[Measures].[Sum of Max Possible Pts]" caption="Sum of Max Possible Pts" measure="1" displayFolder="" measureGroup="Scores" count="0"/>
    <cacheHierarchy uniqueName="[Measures].[Score %]" caption="Score %" measure="1" displayFolder="" measureGroup="Scores" count="0"/>
    <cacheHierarchy uniqueName="[Measures].[Equity Max Score]" caption="Equity Max Score" measure="1" displayFolder="" measureGroup="Scores" count="0" oneField="1">
      <fieldsUsage count="1">
        <fieldUsage x="2"/>
      </fieldsUsage>
    </cacheHierarchy>
    <cacheHierarchy uniqueName="[Measures].[Equity %]" caption="Equity %" measure="1" displayFolder="" measureGroup="Scores" count="0" oneField="1">
      <fieldsUsage count="1">
        <fieldUsage x="4"/>
      </fieldsUsage>
    </cacheHierarchy>
    <cacheHierarchy uniqueName="[Measures].[Row Count]" caption="Row Count" measure="1" displayFolder="" measureGroup="Scores" count="0"/>
    <cacheHierarchy uniqueName="[Measures].[Equity Row Count]" caption="Equity Row Count" measure="1" displayFolder="" measureGroup="Scores" count="0" oneField="1">
      <fieldsUsage count="1">
        <fieldUsage x="5"/>
      </fieldsUsage>
    </cacheHierarchy>
    <cacheHierarchy uniqueName="[Measures].[Total Pts Row Count]" caption="Total Pts Row Count" measure="1" displayFolder="" measureGroup="Scores" count="0"/>
    <cacheHierarchy uniqueName="[Measures].[Budget Max Score]" caption="Budget Max Score" measure="1" displayFolder="" measureGroup="Scores" count="0"/>
    <cacheHierarchy uniqueName="[Measures].[Buget %]" caption="Buget %" measure="1" displayFolder="" measureGroup="Scores" count="0"/>
    <cacheHierarchy uniqueName="[Measures].[Capacity Max Score]" caption="Capacity Max Score" measure="1" displayFolder="" measureGroup="Scores" count="0"/>
    <cacheHierarchy uniqueName="[Measures].[Capacity %]" caption="Capacity %" measure="1" displayFolder="" measureGroup="Scores" count="0"/>
    <cacheHierarchy uniqueName="[Measures].[Overall Max Score]" caption="Overall Max Score" measure="1" displayFolder="" measureGroup="Scores" count="0"/>
    <cacheHierarchy uniqueName="[Measures].[Overall %]" caption="Overall %" measure="1" displayFolder="" measureGroup="Scores" count="0"/>
    <cacheHierarchy uniqueName="[Measures].[Results Max Score]" caption="Results Max Score" measure="1" displayFolder="" measureGroup="Scores" count="0"/>
    <cacheHierarchy uniqueName="[Measures].[Results %]" caption="Results %" measure="1" displayFolder="" measureGroup="Scores" count="0"/>
    <cacheHierarchy uniqueName="[Measures].[Plan Max Score]" caption="Plan Max Score" measure="1" displayFolder="" measureGroup="Scores" count="0"/>
    <cacheHierarchy uniqueName="[Measures].[Plan %]" caption="Plan %" measure="1" displayFolder="" measureGroup="Scores" count="0"/>
    <cacheHierarchy uniqueName="[Measures].[Need Max Score]" caption="Need Max Score" measure="1" displayFolder="" measureGroup="Scores" count="0"/>
    <cacheHierarchy uniqueName="[Measures].[Need %]" caption="Need %" measure="1" displayFolder="" measureGroup="Scores" count="0"/>
    <cacheHierarchy uniqueName="[Measures].[Max. Pts]" caption="Max. Pts" measure="1" displayFolder="" measureGroup="Scores" count="0"/>
    <cacheHierarchy uniqueName="[Measures].[Min. Pts]" caption="Min. Pts" measure="1" displayFolder="" measureGroup="Scores" count="0"/>
    <cacheHierarchy uniqueName="[Measures].[# Scoring]" caption="# Scoring" measure="1" displayFolder="" measureGroup="Scores" count="0"/>
    <cacheHierarchy uniqueName="[Measures].[__XL_Count Scores]" caption="__XL_Count Scores" measure="1" displayFolder="" measureGroup="Scores" count="0" hidden="1"/>
    <cacheHierarchy uniqueName="[Measures].[__XL_Count Applications]" caption="__XL_Count Applications" measure="1" displayFolder="" measureGroup="Applications" count="0" hidden="1"/>
    <cacheHierarchy uniqueName="[Measures].[__No measures defined]" caption="__No measures defined" measure="1" displayFolder="" count="0" hidden="1"/>
  </cacheHierarchies>
  <kpis count="0"/>
  <dimensions count="3">
    <dimension name="Applications" uniqueName="[Applications]" caption="Applications"/>
    <dimension measure="1" name="Measures" uniqueName="[Measures]" caption="Measures"/>
    <dimension name="Scores" uniqueName="[Scores]" caption="Scores"/>
  </dimensions>
  <measureGroups count="2">
    <measureGroup name="Applications" caption="Applications"/>
    <measureGroup name="Scores" caption="Score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saveData="0" refreshedBy="Burnett Walz" refreshedDate="44302.688835995374" backgroundQuery="1" createdVersion="6" refreshedVersion="6" minRefreshableVersion="3" recordCount="0" supportSubquery="1" supportAdvancedDrill="1">
  <cacheSource type="external" connectionId="3"/>
  <cacheFields count="7">
    <cacheField name="[Scores].[Organization Name].[Organization Name]" caption="Organization Name" numFmtId="0" hierarchy="5" level="1">
      <sharedItems count="17">
        <s v="Buncombe Partnership for Children"/>
        <s v="The Christine Avery Learning Center"/>
        <s v="F I R S T"/>
        <s v="Community Action Opportunities"/>
        <s v="Read to Succeed"/>
        <s v="Buncombe County Partnership for Children"/>
        <s v="Irene Wortham Center"/>
        <s v="Eliada Homes, Inc"/>
        <s v="Asheville City Schools"/>
        <s v="Buncombe County Schools"/>
        <s v="Colaborativa La Milpa"/>
        <s v="Swannanoa Valley Child Care Council (Donald S Collins Early Learning Center)"/>
        <s v="Rainbow Community School"/>
        <s v="Asheville Creative Arts"/>
        <s v="Evolve Early Learning"/>
        <s v="Southwestern Child Development"/>
        <s v="YWCA of Asheville and Western North Carolina"/>
      </sharedItems>
    </cacheField>
    <cacheField name="[Scores].[Project Name].[Project Name]" caption="Project Name" numFmtId="0" hierarchy="6" level="1">
      <sharedItems count="22">
        <s v="  Child Care Resources: Professional and Systems Development Project"/>
        <s v="Advancing And Expanding Early Childhood Education (AAEECE)"/>
        <s v="Behavior Support Initiative (BSI)"/>
        <s v="Boost Buncombe Children, A school-day school-year Pre-Kindergarten Project at Johnston Elementary"/>
        <s v="Boost Buncombe Families, A Full-Day Full-Year Pre-Kindergarten Program at the Lonnie D Burton Center"/>
        <s v="Boost Buncombe Families, Providing Full-Day Full-Year Services for existing Head Start Children"/>
        <s v="Community-Powered Literacy | Family Engagement and Kindergarten Readiness"/>
        <s v="Early Childhood Systems Coordination &amp; Single Portal of Entry Implementation"/>
        <s v="Early Childhood Teacher Workforce Development Program"/>
        <s v="Early Learning Center Program Enhancement"/>
        <s v="Eliada Child Development Center"/>
        <s v="Expanding High-Quality Early Childhood Education within Asheville City Schools and Local Communities"/>
        <s v="Increasing Access to High-Quality Early Care and Education at Emma Elementary School"/>
        <s v="PODER Emma ECE Collaborative Network"/>
        <s v="Promoting and Enhancing Growth"/>
        <s v="Rainbow Community School Early Childhood Program Expansion: Funding for a transitional kindergarten"/>
        <s v="Staffed Family Child Care Network to Increase FCCH slots"/>
        <s v="To Support an Innovative Partnership Between ACA Teaching Artists and Early Childhood Educators"/>
        <s v="Together We Rise at Evolve Early Learning"/>
        <s v="Valley Child Development"/>
        <s v="We're Different and the Same!"/>
        <s v="YWCA Empowerment Child Care"/>
      </sharedItems>
    </cacheField>
    <cacheField name="[Measures].[Sum of FY22 Request]" caption="Sum of FY22 Request" numFmtId="0" hierarchy="32" level="32767"/>
    <cacheField name="[Measures].[Sum of FY21 Grant $'s]" caption="Sum of FY21 Grant $'s" numFmtId="0" hierarchy="31" level="32767"/>
    <cacheField name="[Measures].[Score %]" caption="Score %" numFmtId="0" hierarchy="42" level="32767"/>
    <cacheField name="[Measures].[# Scoring]" caption="# Scoring" numFmtId="0" hierarchy="62" level="32767"/>
    <cacheField name="[Measures].[Sum of Total Pts Calc 2]" caption="Sum of Total Pts Calc 2" numFmtId="0" hierarchy="30" level="32767"/>
  </cacheFields>
  <cacheHierarchies count="66">
    <cacheHierarchy uniqueName="[Applications].[Organization Name]" caption="Organization Name" attribute="1" defaultMemberUniqueName="[Applications].[Organization Name].[All]" allUniqueName="[Applications].[Organization Name].[All]" dimensionUniqueName="[Applications]" displayFolder="" count="0" memberValueDatatype="130" unbalanced="0"/>
    <cacheHierarchy uniqueName="[Applications].[Project Name]" caption="Project Name" attribute="1" defaultMemberUniqueName="[Applications].[Project Name].[All]" allUniqueName="[Applications].[Project Name].[All]" dimensionUniqueName="[Applications]" displayFolder="" count="0" memberValueDatatype="130" unbalanced="0"/>
    <cacheHierarchy uniqueName="[Applications].[FY2021 Grant]" caption="FY2021 Grant" attribute="1" defaultMemberUniqueName="[Applications].[FY2021 Grant].[All]" allUniqueName="[Applications].[FY2021 Grant].[All]" dimensionUniqueName="[Applications]" displayFolder="" count="0" memberValueDatatype="5" unbalanced="0"/>
    <cacheHierarchy uniqueName="[Applications].[FY2022 Request]" caption="FY2022 Request" attribute="1" defaultMemberUniqueName="[Applications].[FY2022 Request].[All]" allUniqueName="[Applications].[FY2022 Request].[All]" dimensionUniqueName="[Applications]" displayFolder="" count="0" memberValueDatatype="5" unbalanced="0"/>
    <cacheHierarchy uniqueName="[Applications].[LookupKey]" caption="LookupKey" attribute="1" defaultMemberUniqueName="[Applications].[LookupKey].[All]" allUniqueName="[Applications].[LookupKey].[All]" dimensionUniqueName="[Applications]" displayFolder="" count="0" memberValueDatatype="130" unbalanced="0"/>
    <cacheHierarchy uniqueName="[Scores].[Organization Name]" caption="Organization Name" attribute="1" defaultMemberUniqueName="[Scores].[Organization Name].[All]" allUniqueName="[Scores].[Organization Name].[All]" dimensionUniqueName="[Scores]" displayFolder="" count="2" memberValueDatatype="130" unbalanced="0">
      <fieldsUsage count="2">
        <fieldUsage x="-1"/>
        <fieldUsage x="0"/>
      </fieldsUsage>
    </cacheHierarchy>
    <cacheHierarchy uniqueName="[Scores].[Project Name]" caption="Project Name" attribute="1" defaultMemberUniqueName="[Scores].[Project Name].[All]" allUniqueName="[Scores].[Project Name].[All]" dimensionUniqueName="[Scores]" displayFolder="" count="2" memberValueDatatype="130" unbalanced="0">
      <fieldsUsage count="2">
        <fieldUsage x="-1"/>
        <fieldUsage x="1"/>
      </fieldsUsage>
    </cacheHierarchy>
    <cacheHierarchy uniqueName="[Scores].[Need]" caption="Need" attribute="1" defaultMemberUniqueName="[Scores].[Need].[All]" allUniqueName="[Scores].[Need].[All]" dimensionUniqueName="[Scores]" displayFolder="" count="0" memberValueDatatype="20" unbalanced="0"/>
    <cacheHierarchy uniqueName="[Scores].[Project Plan]" caption="Project Plan" attribute="1" defaultMemberUniqueName="[Scores].[Project Plan].[All]" allUniqueName="[Scores].[Project Plan].[All]" dimensionUniqueName="[Scores]" displayFolder="" count="0" memberValueDatatype="20" unbalanced="0"/>
    <cacheHierarchy uniqueName="[Scores].[Proposed Results]" caption="Proposed Results" attribute="1" defaultMemberUniqueName="[Scores].[Proposed Results].[All]" allUniqueName="[Scores].[Proposed Results].[All]" dimensionUniqueName="[Scores]" displayFolder="" count="0" memberValueDatatype="20" unbalanced="0"/>
    <cacheHierarchy uniqueName="[Scores].[Capacity]" caption="Capacity" attribute="1" defaultMemberUniqueName="[Scores].[Capacity].[All]" allUniqueName="[Scores].[Capacity].[All]" dimensionUniqueName="[Scores]" displayFolder="" count="0" memberValueDatatype="20" unbalanced="0"/>
    <cacheHierarchy uniqueName="[Scores].[Equity]" caption="Equity" attribute="1" defaultMemberUniqueName="[Scores].[Equity].[All]" allUniqueName="[Scores].[Equity].[All]" dimensionUniqueName="[Scores]" displayFolder="" count="0" memberValueDatatype="20" unbalanced="0"/>
    <cacheHierarchy uniqueName="[Scores].[Budget]" caption="Budget" attribute="1" defaultMemberUniqueName="[Scores].[Budget].[All]" allUniqueName="[Scores].[Budget].[All]" dimensionUniqueName="[Scores]" displayFolder="" count="0" memberValueDatatype="20" unbalanced="0"/>
    <cacheHierarchy uniqueName="[Scores].[Overall]" caption="Overall" attribute="1" defaultMemberUniqueName="[Scores].[Overall].[All]" allUniqueName="[Scores].[Overall].[All]" dimensionUniqueName="[Scores]" displayFolder="" count="0" memberValueDatatype="20" unbalanced="0"/>
    <cacheHierarchy uniqueName="[Scores].[Score Percentage]" caption="Score Percentage" attribute="1" defaultMemberUniqueName="[Scores].[Score Percentage].[All]" allUniqueName="[Scores].[Score Percentage].[All]" dimensionUniqueName="[Scores]" displayFolder="" count="0" memberValueDatatype="5" unbalanced="0"/>
    <cacheHierarchy uniqueName="[Scores].[LookupKey]" caption="LookupKey" attribute="1" defaultMemberUniqueName="[Scores].[LookupKey].[All]" allUniqueName="[Scores].[LookupKey].[All]" dimensionUniqueName="[Scores]" displayFolder="" count="0" memberValueDatatype="130" unbalanced="0"/>
    <cacheHierarchy uniqueName="[Scores].[FY21 Grant $'s]" caption="FY21 Grant $'s" attribute="1" defaultMemberUniqueName="[Scores].[FY21 Grant $'s].[All]" allUniqueName="[Scores].[FY21 Grant $'s].[All]" dimensionUniqueName="[Scores]" displayFolder="" count="0" memberValueDatatype="5" unbalanced="0"/>
    <cacheHierarchy uniqueName="[Scores].[FY22 Request]" caption="FY22 Request" attribute="1" defaultMemberUniqueName="[Scores].[FY22 Request].[All]" allUniqueName="[Scores].[FY22 Request].[All]" dimensionUniqueName="[Scores]" displayFolder="" count="0" memberValueDatatype="5" unbalanced="0"/>
    <cacheHierarchy uniqueName="[Scores].[Total Pts Calc]" caption="Total Pts Calc" attribute="1" defaultMemberUniqueName="[Scores].[Total Pts Calc].[All]" allUniqueName="[Scores].[Total Pts Calc].[All]" dimensionUniqueName="[Scores]" displayFolder="" count="0" memberValueDatatype="20" unbalanced="0"/>
    <cacheHierarchy uniqueName="[Scores].[Scoring Count]" caption="Scoring Count" attribute="1" defaultMemberUniqueName="[Scores].[Scoring Count].[All]" allUniqueName="[Scores].[Scoring Count].[All]" dimensionUniqueName="[Scores]" displayFolder="" count="0" memberValueDatatype="20" unbalanced="0"/>
    <cacheHierarchy uniqueName="[Scores].[Max Possible Pts]" caption="Max Possible Pts" attribute="1" defaultMemberUniqueName="[Scores].[Max Possible Pts].[All]" allUniqueName="[Scores].[Max Possible Pts].[All]" dimensionUniqueName="[Scores]" displayFolder="" count="0" memberValueDatatype="20" unbalanced="0"/>
    <cacheHierarchy uniqueName="[Scores].[Total Points]" caption="Total Points" attribute="1" defaultMemberUniqueName="[Scores].[Total Points].[All]" allUniqueName="[Scores].[Total Points].[All]" dimensionUniqueName="[Scores]" displayFolder="" count="0" memberValueDatatype="20" unbalanced="0" hidden="1"/>
    <cacheHierarchy uniqueName="[Measures].[Sum of Equity 2]" caption="Sum of Equity 2" measure="1" displayFolder="" measureGroup="Score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Budget 2]" caption="Sum of Budget 2" measure="1" displayFolder="" measureGroup="Scores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Overall 2]" caption="Sum of Overall 2" measure="1" displayFolder="" measureGroup="Score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Capacity 2]" caption="Sum of Capacity 2" measure="1" displayFolder="" measureGroup="Scores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posed Results 2]" caption="Sum of Proposed Results 2" measure="1" displayFolder="" measureGroup="Scores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Project Plan 2]" caption="Sum of Project Plan 2" measure="1" displayFolder="" measureGroup="Scores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Need 2]" caption="Sum of Need 2" measure="1" displayFolder="" measureGroup="Scores" count="0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coring Count]" caption="Sum of Scoring Count" measure="1" displayFolder="" measureGroup="Scores" count="0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 of Total Pts Calc 2]" caption="Sum of Total Pts Calc 2" measure="1" displayFolder="" measureGroup="Scores" count="0" oneField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 of FY21 Grant $'s]" caption="Sum of FY21 Grant $'s" measure="1" displayFolder="" measureGroup="Scores" count="0" oneField="1">
      <fieldsUsage count="1">
        <fieldUsage x="3"/>
      </fieldsUsage>
    </cacheHierarchy>
    <cacheHierarchy uniqueName="[Measures].[Sum of FY22 Request]" caption="Sum of FY22 Request" measure="1" displayFolder="" measureGroup="Scores" count="0" oneField="1">
      <fieldsUsage count="1">
        <fieldUsage x="2"/>
      </fieldsUsage>
    </cacheHierarchy>
    <cacheHierarchy uniqueName="[Measures].[Sum of Overall]" caption="Sum of Overall" measure="1" displayFolder="" measureGroup="Scores" count="0"/>
    <cacheHierarchy uniqueName="[Measures].[Sum of Budget]" caption="Sum of Budget" measure="1" displayFolder="" measureGroup="Scores" count="0"/>
    <cacheHierarchy uniqueName="[Measures].[Sum of Equity]" caption="Sum of Equity" measure="1" displayFolder="" measureGroup="Scores" count="0"/>
    <cacheHierarchy uniqueName="[Measures].[Sum of Capacity]" caption="Sum of Capacity" measure="1" displayFolder="" measureGroup="Scores" count="0"/>
    <cacheHierarchy uniqueName="[Measures].[Sum of Proposed Results]" caption="Sum of Proposed Results" measure="1" displayFolder="" measureGroup="Scores" count="0"/>
    <cacheHierarchy uniqueName="[Measures].[Sum of Project Plan]" caption="Sum of Project Plan" measure="1" displayFolder="" measureGroup="Scores" count="0"/>
    <cacheHierarchy uniqueName="[Measures].[Sum of Need]" caption="Sum of Need" measure="1" displayFolder="" measureGroup="Scores" count="0"/>
    <cacheHierarchy uniqueName="[Measures].[Sum of Total Pts Calc]" caption="Sum of Total Pts Calc" measure="1" displayFolder="" measureGroup="Scores" count="0"/>
    <cacheHierarchy uniqueName="[Measures].[Sum of Max Possible Pts]" caption="Sum of Max Possible Pts" measure="1" displayFolder="" measureGroup="Scores" count="0"/>
    <cacheHierarchy uniqueName="[Measures].[Score %]" caption="Score %" measure="1" displayFolder="" measureGroup="Scores" count="0" oneField="1">
      <fieldsUsage count="1">
        <fieldUsage x="4"/>
      </fieldsUsage>
    </cacheHierarchy>
    <cacheHierarchy uniqueName="[Measures].[Equity Max Score]" caption="Equity Max Score" measure="1" displayFolder="" measureGroup="Scores" count="0"/>
    <cacheHierarchy uniqueName="[Measures].[Equity %]" caption="Equity %" measure="1" displayFolder="" measureGroup="Scores" count="0"/>
    <cacheHierarchy uniqueName="[Measures].[Row Count]" caption="Row Count" measure="1" displayFolder="" measureGroup="Scores" count="0"/>
    <cacheHierarchy uniqueName="[Measures].[Equity Row Count]" caption="Equity Row Count" measure="1" displayFolder="" measureGroup="Scores" count="0"/>
    <cacheHierarchy uniqueName="[Measures].[Total Pts Row Count]" caption="Total Pts Row Count" measure="1" displayFolder="" measureGroup="Scores" count="0"/>
    <cacheHierarchy uniqueName="[Measures].[Budget Max Score]" caption="Budget Max Score" measure="1" displayFolder="" measureGroup="Scores" count="0"/>
    <cacheHierarchy uniqueName="[Measures].[Buget %]" caption="Buget %" measure="1" displayFolder="" measureGroup="Scores" count="0"/>
    <cacheHierarchy uniqueName="[Measures].[Capacity Max Score]" caption="Capacity Max Score" measure="1" displayFolder="" measureGroup="Scores" count="0"/>
    <cacheHierarchy uniqueName="[Measures].[Capacity %]" caption="Capacity %" measure="1" displayFolder="" measureGroup="Scores" count="0"/>
    <cacheHierarchy uniqueName="[Measures].[Overall Max Score]" caption="Overall Max Score" measure="1" displayFolder="" measureGroup="Scores" count="0"/>
    <cacheHierarchy uniqueName="[Measures].[Overall %]" caption="Overall %" measure="1" displayFolder="" measureGroup="Scores" count="0"/>
    <cacheHierarchy uniqueName="[Measures].[Results Max Score]" caption="Results Max Score" measure="1" displayFolder="" measureGroup="Scores" count="0"/>
    <cacheHierarchy uniqueName="[Measures].[Results %]" caption="Results %" measure="1" displayFolder="" measureGroup="Scores" count="0"/>
    <cacheHierarchy uniqueName="[Measures].[Plan Max Score]" caption="Plan Max Score" measure="1" displayFolder="" measureGroup="Scores" count="0"/>
    <cacheHierarchy uniqueName="[Measures].[Plan %]" caption="Plan %" measure="1" displayFolder="" measureGroup="Scores" count="0"/>
    <cacheHierarchy uniqueName="[Measures].[Need Max Score]" caption="Need Max Score" measure="1" displayFolder="" measureGroup="Scores" count="0"/>
    <cacheHierarchy uniqueName="[Measures].[Need %]" caption="Need %" measure="1" displayFolder="" measureGroup="Scores" count="0"/>
    <cacheHierarchy uniqueName="[Measures].[Max. Pts]" caption="Max. Pts" measure="1" displayFolder="" measureGroup="Scores" count="0"/>
    <cacheHierarchy uniqueName="[Measures].[Min. Pts]" caption="Min. Pts" measure="1" displayFolder="" measureGroup="Scores" count="0"/>
    <cacheHierarchy uniqueName="[Measures].[# Scoring]" caption="# Scoring" measure="1" displayFolder="" measureGroup="Scores" count="0" oneField="1">
      <fieldsUsage count="1">
        <fieldUsage x="5"/>
      </fieldsUsage>
    </cacheHierarchy>
    <cacheHierarchy uniqueName="[Measures].[__XL_Count Scores]" caption="__XL_Count Scores" measure="1" displayFolder="" measureGroup="Scores" count="0" hidden="1"/>
    <cacheHierarchy uniqueName="[Measures].[__XL_Count Applications]" caption="__XL_Count Applications" measure="1" displayFolder="" measureGroup="Applications" count="0" hidden="1"/>
    <cacheHierarchy uniqueName="[Measures].[__No measures defined]" caption="__No measures defined" measure="1" displayFolder="" count="0" hidden="1"/>
  </cacheHierarchies>
  <kpis count="0"/>
  <dimensions count="3">
    <dimension name="Applications" uniqueName="[Applications]" caption="Applications"/>
    <dimension measure="1" name="Measures" uniqueName="[Measures]" caption="Measures"/>
    <dimension name="Scores" uniqueName="[Scores]" caption="Scores"/>
  </dimensions>
  <measureGroups count="2">
    <measureGroup name="Applications" caption="Applications"/>
    <measureGroup name="Scores" caption="Score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saveData="0" refreshedBy="Burnett Walz" refreshedDate="44302.688835995374" backgroundQuery="1" createdVersion="6" refreshedVersion="6" minRefreshableVersion="3" recordCount="0" supportSubquery="1" supportAdvancedDrill="1">
  <cacheSource type="external" connectionId="3"/>
  <cacheFields count="7">
    <cacheField name="[Scores].[Organization Name].[Organization Name]" caption="Organization Name" numFmtId="0" hierarchy="5" level="1">
      <sharedItems count="17">
        <s v="Buncombe Partnership for Children"/>
        <s v="The Christine Avery Learning Center"/>
        <s v="F I R S T"/>
        <s v="Community Action Opportunities"/>
        <s v="Read to Succeed"/>
        <s v="Buncombe County Partnership for Children"/>
        <s v="Irene Wortham Center"/>
        <s v="Eliada Homes, Inc"/>
        <s v="Asheville City Schools"/>
        <s v="Buncombe County Schools"/>
        <s v="Colaborativa La Milpa"/>
        <s v="Swannanoa Valley Child Care Council (Donald S Collins Early Learning Center)"/>
        <s v="Rainbow Community School"/>
        <s v="Asheville Creative Arts"/>
        <s v="Evolve Early Learning"/>
        <s v="Southwestern Child Development"/>
        <s v="YWCA of Asheville and Western North Carolina"/>
      </sharedItems>
    </cacheField>
    <cacheField name="[Scores].[Project Name].[Project Name]" caption="Project Name" numFmtId="0" hierarchy="6" level="1">
      <sharedItems count="22">
        <s v="  Child Care Resources: Professional and Systems Development Project"/>
        <s v="Advancing And Expanding Early Childhood Education (AAEECE)"/>
        <s v="Behavior Support Initiative (BSI)"/>
        <s v="Boost Buncombe Children, A school-day school-year Pre-Kindergarten Project at Johnston Elementary"/>
        <s v="Boost Buncombe Families, A Full-Day Full-Year Pre-Kindergarten Program at the Lonnie D Burton Center"/>
        <s v="Boost Buncombe Families, Providing Full-Day Full-Year Services for existing Head Start Children"/>
        <s v="Community-Powered Literacy | Family Engagement and Kindergarten Readiness"/>
        <s v="Early Childhood Systems Coordination &amp; Single Portal of Entry Implementation"/>
        <s v="Early Childhood Teacher Workforce Development Program"/>
        <s v="Early Learning Center Program Enhancement"/>
        <s v="Eliada Child Development Center"/>
        <s v="Expanding High-Quality Early Childhood Education within Asheville City Schools and Local Communities"/>
        <s v="Increasing Access to High-Quality Early Care and Education at Emma Elementary School"/>
        <s v="PODER Emma ECE Collaborative Network"/>
        <s v="Promoting and Enhancing Growth"/>
        <s v="Rainbow Community School Early Childhood Program Expansion: Funding for a transitional kindergarten"/>
        <s v="Staffed Family Child Care Network to Increase FCCH slots"/>
        <s v="To Support an Innovative Partnership Between ACA Teaching Artists and Early Childhood Educators"/>
        <s v="Together We Rise at Evolve Early Learning"/>
        <s v="Valley Child Development"/>
        <s v="We're Different and the Same!"/>
        <s v="YWCA Empowerment Child Care"/>
      </sharedItems>
    </cacheField>
    <cacheField name="[Measures].[Sum of FY22 Request]" caption="Sum of FY22 Request" numFmtId="0" hierarchy="32" level="32767"/>
    <cacheField name="[Measures].[Sum of FY21 Grant $'s]" caption="Sum of FY21 Grant $'s" numFmtId="0" hierarchy="31" level="32767"/>
    <cacheField name="[Measures].[Score %]" caption="Score %" numFmtId="0" hierarchy="42" level="32767"/>
    <cacheField name="[Measures].[# Scoring]" caption="# Scoring" numFmtId="0" hierarchy="62" level="32767"/>
    <cacheField name="[Measures].[Sum of Total Pts Calc 2]" caption="Sum of Total Pts Calc 2" numFmtId="0" hierarchy="30" level="32767"/>
  </cacheFields>
  <cacheHierarchies count="66">
    <cacheHierarchy uniqueName="[Applications].[Organization Name]" caption="Organization Name" attribute="1" defaultMemberUniqueName="[Applications].[Organization Name].[All]" allUniqueName="[Applications].[Organization Name].[All]" dimensionUniqueName="[Applications]" displayFolder="" count="0" memberValueDatatype="130" unbalanced="0"/>
    <cacheHierarchy uniqueName="[Applications].[Project Name]" caption="Project Name" attribute="1" defaultMemberUniqueName="[Applications].[Project Name].[All]" allUniqueName="[Applications].[Project Name].[All]" dimensionUniqueName="[Applications]" displayFolder="" count="0" memberValueDatatype="130" unbalanced="0"/>
    <cacheHierarchy uniqueName="[Applications].[FY2021 Grant]" caption="FY2021 Grant" attribute="1" defaultMemberUniqueName="[Applications].[FY2021 Grant].[All]" allUniqueName="[Applications].[FY2021 Grant].[All]" dimensionUniqueName="[Applications]" displayFolder="" count="0" memberValueDatatype="5" unbalanced="0"/>
    <cacheHierarchy uniqueName="[Applications].[FY2022 Request]" caption="FY2022 Request" attribute="1" defaultMemberUniqueName="[Applications].[FY2022 Request].[All]" allUniqueName="[Applications].[FY2022 Request].[All]" dimensionUniqueName="[Applications]" displayFolder="" count="0" memberValueDatatype="5" unbalanced="0"/>
    <cacheHierarchy uniqueName="[Applications].[LookupKey]" caption="LookupKey" attribute="1" defaultMemberUniqueName="[Applications].[LookupKey].[All]" allUniqueName="[Applications].[LookupKey].[All]" dimensionUniqueName="[Applications]" displayFolder="" count="0" memberValueDatatype="130" unbalanced="0"/>
    <cacheHierarchy uniqueName="[Scores].[Organization Name]" caption="Organization Name" attribute="1" defaultMemberUniqueName="[Scores].[Organization Name].[All]" allUniqueName="[Scores].[Organization Name].[All]" dimensionUniqueName="[Scores]" displayFolder="" count="2" memberValueDatatype="130" unbalanced="0">
      <fieldsUsage count="2">
        <fieldUsage x="-1"/>
        <fieldUsage x="0"/>
      </fieldsUsage>
    </cacheHierarchy>
    <cacheHierarchy uniqueName="[Scores].[Project Name]" caption="Project Name" attribute="1" defaultMemberUniqueName="[Scores].[Project Name].[All]" allUniqueName="[Scores].[Project Name].[All]" dimensionUniqueName="[Scores]" displayFolder="" count="2" memberValueDatatype="130" unbalanced="0">
      <fieldsUsage count="2">
        <fieldUsage x="-1"/>
        <fieldUsage x="1"/>
      </fieldsUsage>
    </cacheHierarchy>
    <cacheHierarchy uniqueName="[Scores].[Need]" caption="Need" attribute="1" defaultMemberUniqueName="[Scores].[Need].[All]" allUniqueName="[Scores].[Need].[All]" dimensionUniqueName="[Scores]" displayFolder="" count="0" memberValueDatatype="20" unbalanced="0"/>
    <cacheHierarchy uniqueName="[Scores].[Project Plan]" caption="Project Plan" attribute="1" defaultMemberUniqueName="[Scores].[Project Plan].[All]" allUniqueName="[Scores].[Project Plan].[All]" dimensionUniqueName="[Scores]" displayFolder="" count="0" memberValueDatatype="20" unbalanced="0"/>
    <cacheHierarchy uniqueName="[Scores].[Proposed Results]" caption="Proposed Results" attribute="1" defaultMemberUniqueName="[Scores].[Proposed Results].[All]" allUniqueName="[Scores].[Proposed Results].[All]" dimensionUniqueName="[Scores]" displayFolder="" count="0" memberValueDatatype="20" unbalanced="0"/>
    <cacheHierarchy uniqueName="[Scores].[Capacity]" caption="Capacity" attribute="1" defaultMemberUniqueName="[Scores].[Capacity].[All]" allUniqueName="[Scores].[Capacity].[All]" dimensionUniqueName="[Scores]" displayFolder="" count="0" memberValueDatatype="20" unbalanced="0"/>
    <cacheHierarchy uniqueName="[Scores].[Equity]" caption="Equity" attribute="1" defaultMemberUniqueName="[Scores].[Equity].[All]" allUniqueName="[Scores].[Equity].[All]" dimensionUniqueName="[Scores]" displayFolder="" count="0" memberValueDatatype="20" unbalanced="0"/>
    <cacheHierarchy uniqueName="[Scores].[Budget]" caption="Budget" attribute="1" defaultMemberUniqueName="[Scores].[Budget].[All]" allUniqueName="[Scores].[Budget].[All]" dimensionUniqueName="[Scores]" displayFolder="" count="0" memberValueDatatype="20" unbalanced="0"/>
    <cacheHierarchy uniqueName="[Scores].[Overall]" caption="Overall" attribute="1" defaultMemberUniqueName="[Scores].[Overall].[All]" allUniqueName="[Scores].[Overall].[All]" dimensionUniqueName="[Scores]" displayFolder="" count="0" memberValueDatatype="20" unbalanced="0"/>
    <cacheHierarchy uniqueName="[Scores].[Score Percentage]" caption="Score Percentage" attribute="1" defaultMemberUniqueName="[Scores].[Score Percentage].[All]" allUniqueName="[Scores].[Score Percentage].[All]" dimensionUniqueName="[Scores]" displayFolder="" count="0" memberValueDatatype="5" unbalanced="0"/>
    <cacheHierarchy uniqueName="[Scores].[LookupKey]" caption="LookupKey" attribute="1" defaultMemberUniqueName="[Scores].[LookupKey].[All]" allUniqueName="[Scores].[LookupKey].[All]" dimensionUniqueName="[Scores]" displayFolder="" count="0" memberValueDatatype="130" unbalanced="0"/>
    <cacheHierarchy uniqueName="[Scores].[FY21 Grant $'s]" caption="FY21 Grant $'s" attribute="1" defaultMemberUniqueName="[Scores].[FY21 Grant $'s].[All]" allUniqueName="[Scores].[FY21 Grant $'s].[All]" dimensionUniqueName="[Scores]" displayFolder="" count="0" memberValueDatatype="5" unbalanced="0"/>
    <cacheHierarchy uniqueName="[Scores].[FY22 Request]" caption="FY22 Request" attribute="1" defaultMemberUniqueName="[Scores].[FY22 Request].[All]" allUniqueName="[Scores].[FY22 Request].[All]" dimensionUniqueName="[Scores]" displayFolder="" count="0" memberValueDatatype="5" unbalanced="0"/>
    <cacheHierarchy uniqueName="[Scores].[Total Pts Calc]" caption="Total Pts Calc" attribute="1" defaultMemberUniqueName="[Scores].[Total Pts Calc].[All]" allUniqueName="[Scores].[Total Pts Calc].[All]" dimensionUniqueName="[Scores]" displayFolder="" count="0" memberValueDatatype="20" unbalanced="0"/>
    <cacheHierarchy uniqueName="[Scores].[Scoring Count]" caption="Scoring Count" attribute="1" defaultMemberUniqueName="[Scores].[Scoring Count].[All]" allUniqueName="[Scores].[Scoring Count].[All]" dimensionUniqueName="[Scores]" displayFolder="" count="0" memberValueDatatype="20" unbalanced="0"/>
    <cacheHierarchy uniqueName="[Scores].[Max Possible Pts]" caption="Max Possible Pts" attribute="1" defaultMemberUniqueName="[Scores].[Max Possible Pts].[All]" allUniqueName="[Scores].[Max Possible Pts].[All]" dimensionUniqueName="[Scores]" displayFolder="" count="0" memberValueDatatype="20" unbalanced="0"/>
    <cacheHierarchy uniqueName="[Scores].[Total Points]" caption="Total Points" attribute="1" defaultMemberUniqueName="[Scores].[Total Points].[All]" allUniqueName="[Scores].[Total Points].[All]" dimensionUniqueName="[Scores]" displayFolder="" count="0" memberValueDatatype="20" unbalanced="0" hidden="1"/>
    <cacheHierarchy uniqueName="[Measures].[Sum of Equity 2]" caption="Sum of Equity 2" measure="1" displayFolder="" measureGroup="Score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Budget 2]" caption="Sum of Budget 2" measure="1" displayFolder="" measureGroup="Scores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Overall 2]" caption="Sum of Overall 2" measure="1" displayFolder="" measureGroup="Scores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Capacity 2]" caption="Sum of Capacity 2" measure="1" displayFolder="" measureGroup="Scores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posed Results 2]" caption="Sum of Proposed Results 2" measure="1" displayFolder="" measureGroup="Scores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Project Plan 2]" caption="Sum of Project Plan 2" measure="1" displayFolder="" measureGroup="Scores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Need 2]" caption="Sum of Need 2" measure="1" displayFolder="" measureGroup="Scores" count="0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coring Count]" caption="Sum of Scoring Count" measure="1" displayFolder="" measureGroup="Scores" count="0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 of Total Pts Calc 2]" caption="Sum of Total Pts Calc 2" measure="1" displayFolder="" measureGroup="Scores" count="0" oneField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 of FY21 Grant $'s]" caption="Sum of FY21 Grant $'s" measure="1" displayFolder="" measureGroup="Scores" count="0" oneField="1">
      <fieldsUsage count="1">
        <fieldUsage x="3"/>
      </fieldsUsage>
    </cacheHierarchy>
    <cacheHierarchy uniqueName="[Measures].[Sum of FY22 Request]" caption="Sum of FY22 Request" measure="1" displayFolder="" measureGroup="Scores" count="0" oneField="1">
      <fieldsUsage count="1">
        <fieldUsage x="2"/>
      </fieldsUsage>
    </cacheHierarchy>
    <cacheHierarchy uniqueName="[Measures].[Sum of Overall]" caption="Sum of Overall" measure="1" displayFolder="" measureGroup="Scores" count="0"/>
    <cacheHierarchy uniqueName="[Measures].[Sum of Budget]" caption="Sum of Budget" measure="1" displayFolder="" measureGroup="Scores" count="0"/>
    <cacheHierarchy uniqueName="[Measures].[Sum of Equity]" caption="Sum of Equity" measure="1" displayFolder="" measureGroup="Scores" count="0"/>
    <cacheHierarchy uniqueName="[Measures].[Sum of Capacity]" caption="Sum of Capacity" measure="1" displayFolder="" measureGroup="Scores" count="0"/>
    <cacheHierarchy uniqueName="[Measures].[Sum of Proposed Results]" caption="Sum of Proposed Results" measure="1" displayFolder="" measureGroup="Scores" count="0"/>
    <cacheHierarchy uniqueName="[Measures].[Sum of Project Plan]" caption="Sum of Project Plan" measure="1" displayFolder="" measureGroup="Scores" count="0"/>
    <cacheHierarchy uniqueName="[Measures].[Sum of Need]" caption="Sum of Need" measure="1" displayFolder="" measureGroup="Scores" count="0"/>
    <cacheHierarchy uniqueName="[Measures].[Sum of Total Pts Calc]" caption="Sum of Total Pts Calc" measure="1" displayFolder="" measureGroup="Scores" count="0"/>
    <cacheHierarchy uniqueName="[Measures].[Sum of Max Possible Pts]" caption="Sum of Max Possible Pts" measure="1" displayFolder="" measureGroup="Scores" count="0"/>
    <cacheHierarchy uniqueName="[Measures].[Score %]" caption="Score %" measure="1" displayFolder="" measureGroup="Scores" count="0" oneField="1">
      <fieldsUsage count="1">
        <fieldUsage x="4"/>
      </fieldsUsage>
    </cacheHierarchy>
    <cacheHierarchy uniqueName="[Measures].[Equity Max Score]" caption="Equity Max Score" measure="1" displayFolder="" measureGroup="Scores" count="0"/>
    <cacheHierarchy uniqueName="[Measures].[Equity %]" caption="Equity %" measure="1" displayFolder="" measureGroup="Scores" count="0"/>
    <cacheHierarchy uniqueName="[Measures].[Row Count]" caption="Row Count" measure="1" displayFolder="" measureGroup="Scores" count="0"/>
    <cacheHierarchy uniqueName="[Measures].[Equity Row Count]" caption="Equity Row Count" measure="1" displayFolder="" measureGroup="Scores" count="0"/>
    <cacheHierarchy uniqueName="[Measures].[Total Pts Row Count]" caption="Total Pts Row Count" measure="1" displayFolder="" measureGroup="Scores" count="0"/>
    <cacheHierarchy uniqueName="[Measures].[Budget Max Score]" caption="Budget Max Score" measure="1" displayFolder="" measureGroup="Scores" count="0"/>
    <cacheHierarchy uniqueName="[Measures].[Buget %]" caption="Buget %" measure="1" displayFolder="" measureGroup="Scores" count="0"/>
    <cacheHierarchy uniqueName="[Measures].[Capacity Max Score]" caption="Capacity Max Score" measure="1" displayFolder="" measureGroup="Scores" count="0"/>
    <cacheHierarchy uniqueName="[Measures].[Capacity %]" caption="Capacity %" measure="1" displayFolder="" measureGroup="Scores" count="0"/>
    <cacheHierarchy uniqueName="[Measures].[Overall Max Score]" caption="Overall Max Score" measure="1" displayFolder="" measureGroup="Scores" count="0"/>
    <cacheHierarchy uniqueName="[Measures].[Overall %]" caption="Overall %" measure="1" displayFolder="" measureGroup="Scores" count="0"/>
    <cacheHierarchy uniqueName="[Measures].[Results Max Score]" caption="Results Max Score" measure="1" displayFolder="" measureGroup="Scores" count="0"/>
    <cacheHierarchy uniqueName="[Measures].[Results %]" caption="Results %" measure="1" displayFolder="" measureGroup="Scores" count="0"/>
    <cacheHierarchy uniqueName="[Measures].[Plan Max Score]" caption="Plan Max Score" measure="1" displayFolder="" measureGroup="Scores" count="0"/>
    <cacheHierarchy uniqueName="[Measures].[Plan %]" caption="Plan %" measure="1" displayFolder="" measureGroup="Scores" count="0"/>
    <cacheHierarchy uniqueName="[Measures].[Need Max Score]" caption="Need Max Score" measure="1" displayFolder="" measureGroup="Scores" count="0"/>
    <cacheHierarchy uniqueName="[Measures].[Need %]" caption="Need %" measure="1" displayFolder="" measureGroup="Scores" count="0"/>
    <cacheHierarchy uniqueName="[Measures].[Max. Pts]" caption="Max. Pts" measure="1" displayFolder="" measureGroup="Scores" count="0"/>
    <cacheHierarchy uniqueName="[Measures].[Min. Pts]" caption="Min. Pts" measure="1" displayFolder="" measureGroup="Scores" count="0"/>
    <cacheHierarchy uniqueName="[Measures].[# Scoring]" caption="# Scoring" measure="1" displayFolder="" measureGroup="Scores" count="0" oneField="1">
      <fieldsUsage count="1">
        <fieldUsage x="5"/>
      </fieldsUsage>
    </cacheHierarchy>
    <cacheHierarchy uniqueName="[Measures].[__XL_Count Scores]" caption="__XL_Count Scores" measure="1" displayFolder="" measureGroup="Scores" count="0" hidden="1"/>
    <cacheHierarchy uniqueName="[Measures].[__XL_Count Applications]" caption="__XL_Count Applications" measure="1" displayFolder="" measureGroup="Applications" count="0" hidden="1"/>
    <cacheHierarchy uniqueName="[Measures].[__No measures defined]" caption="__No measures defined" measure="1" displayFolder="" count="0" hidden="1"/>
  </cacheHierarchies>
  <kpis count="0"/>
  <dimensions count="3">
    <dimension name="Applications" uniqueName="[Applications]" caption="Applications"/>
    <dimension measure="1" name="Measures" uniqueName="[Measures]" caption="Measures"/>
    <dimension name="Scores" uniqueName="[Scores]" caption="Scores"/>
  </dimensions>
  <measureGroups count="2">
    <measureGroup name="Applications" caption="Applications"/>
    <measureGroup name="Scores" caption="Score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tag="d6a3d99d-7a76-4b46-886c-e455b239dc42" updatedVersion="6" minRefreshableVersion="3" subtotalHiddenItems="1" rowGrandTotals="0" itemPrintTitles="1" createdVersion="6" indent="0" compact="0" compactData="0" gridDropZones="1" multipleFieldFilters="0">
  <location ref="B4:H27" firstHeaderRow="1" firstDataRow="2" firstDataCol="2"/>
  <pivotFields count="7">
    <pivotField axis="axisRow" compact="0" allDrilled="1" outline="0" subtotalTop="0" showAll="0" defaultSubtotal="0" defaultAttributeDrillState="1">
      <items count="17">
        <item x="8"/>
        <item x="14"/>
        <item x="7"/>
        <item x="1"/>
        <item x="3"/>
        <item x="0"/>
        <item x="5"/>
        <item x="9"/>
        <item x="10"/>
        <item x="2"/>
        <item x="6"/>
        <item x="13"/>
        <item x="12"/>
        <item x="4"/>
        <item x="15"/>
        <item n="Swannanoa Valley Child Care Council" x="11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sortType="descending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22">
    <i>
      <x v="5"/>
      <x v="4"/>
    </i>
    <i>
      <x v="4"/>
      <x v="4"/>
    </i>
    <i>
      <x v="8"/>
      <x v="5"/>
    </i>
    <i>
      <x v="20"/>
      <x v="4"/>
    </i>
    <i>
      <x v="16"/>
      <x v="5"/>
    </i>
    <i>
      <x v="13"/>
      <x v="8"/>
    </i>
    <i>
      <x v="1"/>
      <x v="3"/>
    </i>
    <i>
      <x v="7"/>
      <x v="6"/>
    </i>
    <i>
      <x v="3"/>
      <x v="4"/>
    </i>
    <i>
      <x/>
      <x v="5"/>
    </i>
    <i>
      <x v="9"/>
      <x v="10"/>
    </i>
    <i>
      <x v="12"/>
      <x v="7"/>
    </i>
    <i>
      <x v="21"/>
      <x v="16"/>
    </i>
    <i>
      <x v="6"/>
      <x v="13"/>
    </i>
    <i>
      <x v="14"/>
      <x v="15"/>
    </i>
    <i>
      <x v="11"/>
      <x/>
    </i>
    <i>
      <x v="10"/>
      <x v="2"/>
    </i>
    <i>
      <x v="18"/>
      <x v="1"/>
    </i>
    <i>
      <x v="19"/>
      <x v="14"/>
    </i>
    <i>
      <x v="15"/>
      <x v="12"/>
    </i>
    <i>
      <x v="2"/>
      <x v="9"/>
    </i>
    <i>
      <x v="17"/>
      <x v="11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3" subtotal="count" baseField="0" baseItem="0" numFmtId="167"/>
    <dataField name="FY22 Request" fld="2" subtotal="count" baseField="0" baseItem="0" numFmtId="167"/>
    <dataField name="Members Scoring" fld="5" subtotal="count" baseField="0" baseItem="0"/>
    <dataField name="Total Pts" fld="6" baseField="0" baseItem="0"/>
    <dataField fld="4" subtotal="count" baseField="0" baseItem="0"/>
  </dataFields>
  <formats count="509">
    <format dxfId="1693">
      <pivotArea dataOnly="0" labelOnly="1" outline="0" fieldPosition="0">
        <references count="1">
          <reference field="1" count="0"/>
        </references>
      </pivotArea>
    </format>
    <format dxfId="1692">
      <pivotArea outline="0" collapsedLevelsAreSubtotals="1" fieldPosition="0"/>
    </format>
    <format dxfId="1691">
      <pivotArea dataOnly="0" labelOnly="1" outline="0" fieldPosition="0">
        <references count="1">
          <reference field="1" count="0"/>
        </references>
      </pivotArea>
    </format>
    <format dxfId="1690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689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688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687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686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685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684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683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682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681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680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679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678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677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676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675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67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673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67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67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670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669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66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67">
      <pivotArea field="-2" type="button" dataOnly="0" labelOnly="1" outline="0" axis="axisCol" fieldPosition="0"/>
    </format>
    <format dxfId="1666">
      <pivotArea type="origin" dataOnly="0" labelOnly="1" outline="0" fieldPosition="0"/>
    </format>
    <format dxfId="1665">
      <pivotArea field="-2" type="button" dataOnly="0" labelOnly="1" outline="0" axis="axisCol" fieldPosition="0"/>
    </format>
    <format dxfId="1664">
      <pivotArea type="topRight" dataOnly="0" labelOnly="1" outline="0" fieldPosition="0"/>
    </format>
    <format dxfId="1663">
      <pivotArea field="1" type="button" dataOnly="0" labelOnly="1" outline="0" axis="axisRow" fieldPosition="0"/>
    </format>
    <format dxfId="1662">
      <pivotArea field="0" type="button" dataOnly="0" labelOnly="1" outline="0" axis="axisRow" fieldPosition="1"/>
    </format>
    <format dxfId="166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6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59">
      <pivotArea field="1" type="button" dataOnly="0" labelOnly="1" outline="0" axis="axisRow" fieldPosition="0"/>
    </format>
    <format dxfId="1658">
      <pivotArea field="0" type="button" dataOnly="0" labelOnly="1" outline="0" axis="axisRow" fieldPosition="1"/>
    </format>
    <format dxfId="1657">
      <pivotArea outline="0" fieldPosition="0">
        <references count="1">
          <reference field="4294967294" count="1" selected="0">
            <x v="1"/>
          </reference>
        </references>
      </pivotArea>
    </format>
    <format dxfId="1656">
      <pivotArea outline="0" fieldPosition="0">
        <references count="1">
          <reference field="4294967294" count="1" selected="0">
            <x v="1"/>
          </reference>
        </references>
      </pivotArea>
    </format>
    <format dxfId="1655">
      <pivotArea type="all" dataOnly="0" outline="0" fieldPosition="0"/>
    </format>
    <format dxfId="1654">
      <pivotArea outline="0" collapsedLevelsAreSubtotals="1" fieldPosition="0"/>
    </format>
    <format dxfId="1653">
      <pivotArea type="origin" dataOnly="0" labelOnly="1" outline="0" fieldPosition="0"/>
    </format>
    <format dxfId="1652">
      <pivotArea field="-2" type="button" dataOnly="0" labelOnly="1" outline="0" axis="axisCol" fieldPosition="0"/>
    </format>
    <format dxfId="1651">
      <pivotArea type="topRight" dataOnly="0" labelOnly="1" outline="0" fieldPosition="0"/>
    </format>
    <format dxfId="1650">
      <pivotArea field="1" type="button" dataOnly="0" labelOnly="1" outline="0" axis="axisRow" fieldPosition="0"/>
    </format>
    <format dxfId="1649">
      <pivotArea field="0" type="button" dataOnly="0" labelOnly="1" outline="0" axis="axisRow" fieldPosition="1"/>
    </format>
    <format dxfId="1648">
      <pivotArea dataOnly="0" labelOnly="1" outline="0" fieldPosition="0">
        <references count="1">
          <reference field="1" count="0"/>
        </references>
      </pivotArea>
    </format>
    <format dxfId="1647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646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645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644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643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642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641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640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639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638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637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636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635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634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633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632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631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630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629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628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627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626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62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24">
      <pivotArea type="topRight" dataOnly="0" labelOnly="1" outline="0" offset="C1" fieldPosition="0"/>
    </format>
    <format dxfId="1623">
      <pivotArea type="topRight" dataOnly="0" labelOnly="1" outline="0" offset="A1" fieldPosition="0"/>
    </format>
    <format dxfId="162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21">
      <pivotArea type="origin" dataOnly="0" labelOnly="1" outline="0" offset="B1" fieldPosition="0"/>
    </format>
    <format dxfId="1620">
      <pivotArea field="0" type="button" dataOnly="0" labelOnly="1" outline="0" axis="axisRow" fieldPosition="1"/>
    </format>
    <format dxfId="1619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618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617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616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615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614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613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612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611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610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609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608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607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606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605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604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603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602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601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600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599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598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597">
      <pivotArea type="origin" dataOnly="0" labelOnly="1" outline="0" fieldPosition="0"/>
    </format>
    <format dxfId="1596">
      <pivotArea field="-2" type="button" dataOnly="0" labelOnly="1" outline="0" axis="axisCol" fieldPosition="0"/>
    </format>
    <format dxfId="1595">
      <pivotArea type="topRight" dataOnly="0" labelOnly="1" outline="0" fieldPosition="0"/>
    </format>
    <format dxfId="1594">
      <pivotArea field="1" type="button" dataOnly="0" labelOnly="1" outline="0" axis="axisRow" fieldPosition="0"/>
    </format>
    <format dxfId="1593">
      <pivotArea field="0" type="button" dataOnly="0" labelOnly="1" outline="0" axis="axisRow" fieldPosition="1"/>
    </format>
    <format dxfId="159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91">
      <pivotArea type="all" dataOnly="0" outline="0" fieldPosition="0"/>
    </format>
    <format dxfId="1590">
      <pivotArea outline="0" collapsedLevelsAreSubtotals="1" fieldPosition="0"/>
    </format>
    <format dxfId="1589">
      <pivotArea type="origin" dataOnly="0" labelOnly="1" outline="0" fieldPosition="0"/>
    </format>
    <format dxfId="1588">
      <pivotArea field="-2" type="button" dataOnly="0" labelOnly="1" outline="0" axis="axisCol" fieldPosition="0"/>
    </format>
    <format dxfId="1587">
      <pivotArea type="topRight" dataOnly="0" labelOnly="1" outline="0" fieldPosition="0"/>
    </format>
    <format dxfId="1586">
      <pivotArea field="1" type="button" dataOnly="0" labelOnly="1" outline="0" axis="axisRow" fieldPosition="0"/>
    </format>
    <format dxfId="1585">
      <pivotArea field="0" type="button" dataOnly="0" labelOnly="1" outline="0" axis="axisRow" fieldPosition="1"/>
    </format>
    <format dxfId="1584">
      <pivotArea dataOnly="0" labelOnly="1" outline="0" fieldPosition="0">
        <references count="1">
          <reference field="1" count="0"/>
        </references>
      </pivotArea>
    </format>
    <format dxfId="1583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582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581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580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579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578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577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576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575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574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573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572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571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570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569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568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567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566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565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564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563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562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56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6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59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558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557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556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555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554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553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552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551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550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549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548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547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546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545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544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543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542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541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540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539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538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537">
      <pivotArea dataOnly="0" labelOnly="1" outline="0" fieldPosition="0">
        <references count="1">
          <reference field="1" count="0"/>
        </references>
      </pivotArea>
    </format>
    <format dxfId="1536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535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534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533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532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531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530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529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528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527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526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525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524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523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522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521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520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519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518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517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516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515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514">
      <pivotArea outline="0" fieldPosition="0">
        <references count="1">
          <reference field="4294967294" count="1" selected="0">
            <x v="1"/>
          </reference>
        </references>
      </pivotArea>
    </format>
    <format dxfId="1513">
      <pivotArea outline="0" fieldPosition="0">
        <references count="1">
          <reference field="4294967294" count="1" selected="0">
            <x v="1"/>
          </reference>
        </references>
      </pivotArea>
    </format>
    <format dxfId="1512">
      <pivotArea outline="0" fieldPosition="0">
        <references count="1">
          <reference field="4294967294" count="1" selected="0">
            <x v="1"/>
          </reference>
        </references>
      </pivotArea>
    </format>
    <format dxfId="1511">
      <pivotArea dataOnly="0" labelOnly="1" outline="0" fieldPosition="0">
        <references count="1">
          <reference field="1" count="0"/>
        </references>
      </pivotArea>
    </format>
    <format dxfId="1510">
      <pivotArea type="all" dataOnly="0" outline="0" fieldPosition="0"/>
    </format>
    <format dxfId="1509">
      <pivotArea outline="0" collapsedLevelsAreSubtotals="1" fieldPosition="0"/>
    </format>
    <format dxfId="1508">
      <pivotArea type="origin" dataOnly="0" labelOnly="1" outline="0" fieldPosition="0"/>
    </format>
    <format dxfId="1507">
      <pivotArea field="-2" type="button" dataOnly="0" labelOnly="1" outline="0" axis="axisCol" fieldPosition="0"/>
    </format>
    <format dxfId="1506">
      <pivotArea type="topRight" dataOnly="0" labelOnly="1" outline="0" fieldPosition="0"/>
    </format>
    <format dxfId="1505">
      <pivotArea field="1" type="button" dataOnly="0" labelOnly="1" outline="0" axis="axisRow" fieldPosition="0"/>
    </format>
    <format dxfId="1504">
      <pivotArea field="0" type="button" dataOnly="0" labelOnly="1" outline="0" axis="axisRow" fieldPosition="1"/>
    </format>
    <format dxfId="1503">
      <pivotArea dataOnly="0" labelOnly="1" outline="0" fieldPosition="0">
        <references count="1">
          <reference field="1" count="0"/>
        </references>
      </pivotArea>
    </format>
    <format dxfId="1502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501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500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499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498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497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496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495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494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493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492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491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490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489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488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487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486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485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484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483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482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481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48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479">
      <pivotArea dataOnly="0" labelOnly="1" outline="0" fieldPosition="0">
        <references count="1">
          <reference field="1" count="0"/>
        </references>
      </pivotArea>
    </format>
    <format dxfId="1478">
      <pivotArea dataOnly="0" labelOnly="1" outline="0" fieldPosition="0">
        <references count="1">
          <reference field="1" count="0"/>
        </references>
      </pivotArea>
    </format>
    <format dxfId="1477">
      <pivotArea dataOnly="0" labelOnly="1" outline="0" fieldPosition="0">
        <references count="1">
          <reference field="1" count="0"/>
        </references>
      </pivotArea>
    </format>
    <format dxfId="1476">
      <pivotArea dataOnly="0" labelOnly="1" outline="0" fieldPosition="0">
        <references count="1">
          <reference field="1" count="0"/>
        </references>
      </pivotArea>
    </format>
    <format dxfId="1475">
      <pivotArea dataOnly="0" labelOnly="1" outline="0" fieldPosition="0">
        <references count="1">
          <reference field="1" count="0"/>
        </references>
      </pivotArea>
    </format>
    <format dxfId="1474">
      <pivotArea type="all" dataOnly="0" outline="0" fieldPosition="0"/>
    </format>
    <format dxfId="1473">
      <pivotArea outline="0" collapsedLevelsAreSubtotals="1" fieldPosition="0"/>
    </format>
    <format dxfId="1472">
      <pivotArea type="origin" dataOnly="0" labelOnly="1" outline="0" fieldPosition="0"/>
    </format>
    <format dxfId="1471">
      <pivotArea field="-2" type="button" dataOnly="0" labelOnly="1" outline="0" axis="axisCol" fieldPosition="0"/>
    </format>
    <format dxfId="1470">
      <pivotArea type="topRight" dataOnly="0" labelOnly="1" outline="0" fieldPosition="0"/>
    </format>
    <format dxfId="1469">
      <pivotArea field="1" type="button" dataOnly="0" labelOnly="1" outline="0" axis="axisRow" fieldPosition="0"/>
    </format>
    <format dxfId="1468">
      <pivotArea field="0" type="button" dataOnly="0" labelOnly="1" outline="0" axis="axisRow" fieldPosition="1"/>
    </format>
    <format dxfId="1467">
      <pivotArea dataOnly="0" labelOnly="1" outline="0" fieldPosition="0">
        <references count="1">
          <reference field="1" count="0"/>
        </references>
      </pivotArea>
    </format>
    <format dxfId="1466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465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464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463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462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461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460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459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458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457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456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455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454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453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452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451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450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449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448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447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446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445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44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443">
      <pivotArea dataOnly="0" labelOnly="1" outline="0" fieldPosition="0">
        <references count="1">
          <reference field="1" count="0"/>
        </references>
      </pivotArea>
    </format>
    <format dxfId="1442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441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440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439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438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437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436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435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434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433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432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431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430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429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428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427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426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425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424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423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422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421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4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19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1418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1417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14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15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414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413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412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411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410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409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408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407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406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405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404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403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402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401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400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399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398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397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396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395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394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393">
      <pivotArea outline="0" collapsedLevelsAreSubtotals="1" fieldPosition="0"/>
    </format>
    <format dxfId="1392">
      <pivotArea field="1" type="button" dataOnly="0" labelOnly="1" outline="0" axis="axisRow" fieldPosition="0"/>
    </format>
    <format dxfId="1391">
      <pivotArea field="0" type="button" dataOnly="0" labelOnly="1" outline="0" axis="axisRow" fieldPosition="1"/>
    </format>
    <format dxfId="1390">
      <pivotArea dataOnly="0" labelOnly="1" outline="0" fieldPosition="0">
        <references count="1">
          <reference field="1" count="0"/>
        </references>
      </pivotArea>
    </format>
    <format dxfId="1389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388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387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386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385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384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383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382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381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380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379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378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377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376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375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374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373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372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371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370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369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368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36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6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65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1364">
      <pivotArea field="1" type="button" dataOnly="0" labelOnly="1" outline="0" axis="axisRow" fieldPosition="0"/>
    </format>
    <format dxfId="1363">
      <pivotArea field="0" type="button" dataOnly="0" labelOnly="1" outline="0" axis="axisRow" fieldPosition="1"/>
    </format>
    <format dxfId="1362">
      <pivotArea dataOnly="0" labelOnly="1" outline="0" fieldPosition="0">
        <references count="1">
          <reference field="1" count="0"/>
        </references>
      </pivotArea>
    </format>
    <format dxfId="1361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360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359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358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357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356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355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354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353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352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351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350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349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348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347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346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345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344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343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342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341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340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3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38">
      <pivotArea outline="0" collapsedLevelsAreSubtotals="1" fieldPosition="0"/>
    </format>
    <format dxfId="1337">
      <pivotArea dataOnly="0" labelOnly="1" outline="0" fieldPosition="0">
        <references count="1">
          <reference field="1" count="0"/>
        </references>
      </pivotArea>
    </format>
    <format dxfId="1336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335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334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333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332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331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330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329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328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327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326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325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324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323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322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321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320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319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318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317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316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315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314">
      <pivotArea outline="0" collapsedLevelsAreSubtotals="1" fieldPosition="0"/>
    </format>
    <format dxfId="1313">
      <pivotArea dataOnly="0" labelOnly="1" outline="0" fieldPosition="0">
        <references count="1">
          <reference field="1" count="0"/>
        </references>
      </pivotArea>
    </format>
    <format dxfId="1312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311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310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309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308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307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306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305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304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303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30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301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300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299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298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297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296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295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294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293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292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29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290">
      <pivotArea outline="0" collapsedLevelsAreSubtotals="1" fieldPosition="0"/>
    </format>
    <format dxfId="1289">
      <pivotArea dataOnly="0" labelOnly="1" outline="0" fieldPosition="0">
        <references count="1">
          <reference field="1" count="0"/>
        </references>
      </pivotArea>
    </format>
    <format dxfId="1288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287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286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285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284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283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282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281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280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279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278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277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276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275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274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273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272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271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270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269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268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267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266">
      <pivotArea outline="0" collapsedLevelsAreSubtotals="1" fieldPosition="0"/>
    </format>
    <format dxfId="1265">
      <pivotArea field="1" type="button" dataOnly="0" labelOnly="1" outline="0" axis="axisRow" fieldPosition="0"/>
    </format>
    <format dxfId="1264">
      <pivotArea field="0" type="button" dataOnly="0" labelOnly="1" outline="0" axis="axisRow" fieldPosition="1"/>
    </format>
    <format dxfId="1263">
      <pivotArea dataOnly="0" labelOnly="1" outline="0" fieldPosition="0">
        <references count="1">
          <reference field="1" count="0"/>
        </references>
      </pivotArea>
    </format>
    <format dxfId="1262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261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260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259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258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257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256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255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254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253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25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251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250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249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248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247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246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245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244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243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242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24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240">
      <pivotArea dataOnly="0" labelOnly="1" outline="0" fieldPosition="0">
        <references count="1">
          <reference field="4294967294" count="3">
            <x v="0"/>
            <x v="1"/>
            <x v="4"/>
          </reference>
        </references>
      </pivotArea>
    </format>
    <format dxfId="1239">
      <pivotArea field="0" type="button" dataOnly="0" labelOnly="1" outline="0" axis="axisRow" fieldPosition="1"/>
    </format>
    <format dxfId="12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37">
      <pivotArea outline="0" collapsedLevelsAreSubtotals="1" fieldPosition="0"/>
    </format>
    <format dxfId="1236">
      <pivotArea dataOnly="0" labelOnly="1" outline="0" fieldPosition="0">
        <references count="1">
          <reference field="1" count="0"/>
        </references>
      </pivotArea>
    </format>
    <format dxfId="1235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234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233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232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231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230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229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228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227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226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225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224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223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222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22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220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219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218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217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216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215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214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213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1212">
      <pivotArea outline="0" collapsedLevelsAreSubtotals="1" fieldPosition="0"/>
    </format>
    <format dxfId="1211">
      <pivotArea field="1" type="button" dataOnly="0" labelOnly="1" outline="0" axis="axisRow" fieldPosition="0"/>
    </format>
    <format dxfId="1210">
      <pivotArea field="0" type="button" dataOnly="0" labelOnly="1" outline="0" axis="axisRow" fieldPosition="1"/>
    </format>
    <format dxfId="120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08">
      <pivotArea outline="0" collapsedLevelsAreSubtotals="1" fieldPosition="0"/>
    </format>
    <format dxfId="1207">
      <pivotArea dataOnly="0" labelOnly="1" outline="0" fieldPosition="0">
        <references count="1">
          <reference field="1" count="0"/>
        </references>
      </pivotArea>
    </format>
    <format dxfId="1206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205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204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203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202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201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200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199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198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197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196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195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194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193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192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191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190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189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188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187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186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185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</formats>
  <pivotHierarchies count="6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Total Pts"/>
    <pivotHierarchy dragToRow="0" dragToCol="0" dragToPage="0" dragToData="1" caption="FY21 Grant $'s"/>
    <pivotHierarchy dragToRow="0" dragToCol="0" dragToPage="0" dragToData="1" caption="FY22 Request"/>
    <pivotHierarchy dragToRow="0" dragToCol="0" dragToPage="0" dragToData="1"/>
    <pivotHierarchy dragToRow="0" dragToCol="0" dragToPage="0" dragToData="1" caption="Budget"/>
    <pivotHierarchy dragToRow="0" dragToCol="0" dragToPage="0" dragToData="1" caption="Equity"/>
    <pivotHierarchy dragToRow="0" dragToCol="0" dragToPage="0" dragToData="1" caption="Capacity"/>
    <pivotHierarchy dragToRow="0" dragToCol="0" dragToPage="0" dragToData="1" caption="Proposed Results"/>
    <pivotHierarchy dragToRow="0" dragToCol="0" dragToPage="0" dragToData="1" caption="Project Plan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Members Scoring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2" showRowHeaders="1" showColHeaders="1" showRowStripes="0" showColStripes="0" showLastColumn="1"/>
  <rowHierarchiesUsage count="2">
    <rowHierarchyUsage hierarchyUsage="6"/>
    <rowHierarchyUsage hierarchyUsage="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>
        <x14:conditionalFormats count="3">
          <x14:conditionalFormat priority="3" id="{702DF170-9418-4898-8C20-E85C5806FF09}">
            <x14:pivotAreas count="1">
              <pivotArea type="data" outline="0" collapsedLevelsAreSubtotals="1" fieldPosition="0">
                <references count="1">
                  <reference field="4294967294" count="1" selected="0">
                    <x v="4"/>
                  </reference>
                </references>
              </pivotArea>
            </x14:pivotAreas>
          </x14:conditionalFormat>
          <x14:conditionalFormat priority="2" id="{EA74AA4D-C7AC-4850-A845-A2EC98482A63}">
            <x14:pivotAreas count="1">
              <pivotArea type="data" outline="0" collapsedLevelsAreSubtotals="1" fieldPosition="0">
                <references count="1">
                  <reference field="4294967294" count="1" selected="0">
                    <x v="4"/>
                  </reference>
                </references>
              </pivotArea>
            </x14:pivotAreas>
          </x14:conditionalFormat>
          <x14:conditionalFormat priority="1" id="{9CFC425F-629E-437F-9B8B-B6DD320922AF}">
            <x14:pivotAreas count="1">
              <pivotArea type="data" outline="0" collapsedLevelsAreSubtotals="1" fieldPosition="0">
                <references count="1">
                  <reference field="4294967294" count="1" selected="0">
                    <x v="4"/>
                  </reference>
                </references>
              </pivotArea>
            </x14:pivotAreas>
          </x14:conditionalFormat>
        </x14:conditionalFormats>
      </x14:pivotTableDefinition>
    </ext>
    <ext xmlns:x15="http://schemas.microsoft.com/office/spreadsheetml/2010/11/main" uri="{E67621CE-5B39-4880-91FE-76760E9C1902}">
      <x15:pivotTableUISettings>
        <x15:activeTabTopLevelEntity name="[Scores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tag="d6a3d99d-7a76-4b46-886c-e455b239dc42" updatedVersion="6" minRefreshableVersion="3" subtotalHiddenItems="1" rowGrandTotals="0" itemPrintTitles="1" createdVersion="6" indent="0" compact="0" compactData="0" gridDropZones="1" multipleFieldFilters="0">
  <location ref="B4:H27" firstHeaderRow="1" firstDataRow="2" firstDataCol="2"/>
  <pivotFields count="7">
    <pivotField axis="axisRow" compact="0" allDrilled="1" outline="0" subtotalTop="0" showAll="0" defaultSubtotal="0" defaultAttributeDrillState="1">
      <items count="17">
        <item x="8"/>
        <item x="14"/>
        <item x="7"/>
        <item x="1"/>
        <item x="3"/>
        <item x="0"/>
        <item x="5"/>
        <item x="9"/>
        <item x="10"/>
        <item x="2"/>
        <item x="6"/>
        <item x="13"/>
        <item x="12"/>
        <item x="4"/>
        <item x="15"/>
        <item n="Swannanoa Valley Child Care Council" x="11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sortType="descending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22">
    <i>
      <x v="5"/>
      <x v="4"/>
    </i>
    <i>
      <x v="4"/>
      <x v="4"/>
    </i>
    <i>
      <x v="8"/>
      <x v="5"/>
    </i>
    <i>
      <x v="20"/>
      <x v="4"/>
    </i>
    <i>
      <x v="16"/>
      <x v="5"/>
    </i>
    <i>
      <x v="13"/>
      <x v="8"/>
    </i>
    <i>
      <x v="1"/>
      <x v="3"/>
    </i>
    <i>
      <x v="7"/>
      <x v="6"/>
    </i>
    <i>
      <x v="3"/>
      <x v="4"/>
    </i>
    <i>
      <x/>
      <x v="5"/>
    </i>
    <i>
      <x v="9"/>
      <x v="10"/>
    </i>
    <i>
      <x v="12"/>
      <x v="7"/>
    </i>
    <i>
      <x v="21"/>
      <x v="16"/>
    </i>
    <i>
      <x v="6"/>
      <x v="13"/>
    </i>
    <i>
      <x v="14"/>
      <x v="15"/>
    </i>
    <i>
      <x v="11"/>
      <x/>
    </i>
    <i>
      <x v="10"/>
      <x v="2"/>
    </i>
    <i>
      <x v="18"/>
      <x v="1"/>
    </i>
    <i>
      <x v="19"/>
      <x v="14"/>
    </i>
    <i>
      <x v="15"/>
      <x v="12"/>
    </i>
    <i>
      <x v="2"/>
      <x v="9"/>
    </i>
    <i>
      <x v="17"/>
      <x v="11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3" subtotal="count" baseField="0" baseItem="0" numFmtId="167"/>
    <dataField name="FY22 Request" fld="2" subtotal="count" baseField="0" baseItem="0" numFmtId="167"/>
    <dataField name="Members Scoring" fld="5" subtotal="count" baseField="0" baseItem="0"/>
    <dataField name="Total Pts" fld="6" baseField="0" baseItem="0"/>
    <dataField fld="4" subtotal="count" baseField="0" baseItem="0"/>
  </dataFields>
  <formats count="509">
    <format dxfId="1174">
      <pivotArea dataOnly="0" labelOnly="1" outline="0" fieldPosition="0">
        <references count="1">
          <reference field="1" count="0"/>
        </references>
      </pivotArea>
    </format>
    <format dxfId="1173">
      <pivotArea outline="0" collapsedLevelsAreSubtotals="1" fieldPosition="0"/>
    </format>
    <format dxfId="1172">
      <pivotArea dataOnly="0" labelOnly="1" outline="0" fieldPosition="0">
        <references count="1">
          <reference field="1" count="0"/>
        </references>
      </pivotArea>
    </format>
    <format dxfId="1171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170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169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168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167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166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165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164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163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162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161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160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159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158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157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156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155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154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153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152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151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150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14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48">
      <pivotArea field="-2" type="button" dataOnly="0" labelOnly="1" outline="0" axis="axisCol" fieldPosition="0"/>
    </format>
    <format dxfId="1147">
      <pivotArea type="origin" dataOnly="0" labelOnly="1" outline="0" fieldPosition="0"/>
    </format>
    <format dxfId="1146">
      <pivotArea field="-2" type="button" dataOnly="0" labelOnly="1" outline="0" axis="axisCol" fieldPosition="0"/>
    </format>
    <format dxfId="1145">
      <pivotArea type="topRight" dataOnly="0" labelOnly="1" outline="0" fieldPosition="0"/>
    </format>
    <format dxfId="1144">
      <pivotArea field="1" type="button" dataOnly="0" labelOnly="1" outline="0" axis="axisRow" fieldPosition="0"/>
    </format>
    <format dxfId="1143">
      <pivotArea field="0" type="button" dataOnly="0" labelOnly="1" outline="0" axis="axisRow" fieldPosition="1"/>
    </format>
    <format dxfId="114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4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40">
      <pivotArea field="1" type="button" dataOnly="0" labelOnly="1" outline="0" axis="axisRow" fieldPosition="0"/>
    </format>
    <format dxfId="1139">
      <pivotArea field="0" type="button" dataOnly="0" labelOnly="1" outline="0" axis="axisRow" fieldPosition="1"/>
    </format>
    <format dxfId="1138">
      <pivotArea outline="0" fieldPosition="0">
        <references count="1">
          <reference field="4294967294" count="1" selected="0">
            <x v="1"/>
          </reference>
        </references>
      </pivotArea>
    </format>
    <format dxfId="1137">
      <pivotArea outline="0" fieldPosition="0">
        <references count="1">
          <reference field="4294967294" count="1" selected="0">
            <x v="1"/>
          </reference>
        </references>
      </pivotArea>
    </format>
    <format dxfId="1136">
      <pivotArea type="all" dataOnly="0" outline="0" fieldPosition="0"/>
    </format>
    <format dxfId="1135">
      <pivotArea outline="0" collapsedLevelsAreSubtotals="1" fieldPosition="0"/>
    </format>
    <format dxfId="1134">
      <pivotArea type="origin" dataOnly="0" labelOnly="1" outline="0" fieldPosition="0"/>
    </format>
    <format dxfId="1133">
      <pivotArea field="-2" type="button" dataOnly="0" labelOnly="1" outline="0" axis="axisCol" fieldPosition="0"/>
    </format>
    <format dxfId="1132">
      <pivotArea type="topRight" dataOnly="0" labelOnly="1" outline="0" fieldPosition="0"/>
    </format>
    <format dxfId="1131">
      <pivotArea field="1" type="button" dataOnly="0" labelOnly="1" outline="0" axis="axisRow" fieldPosition="0"/>
    </format>
    <format dxfId="1130">
      <pivotArea field="0" type="button" dataOnly="0" labelOnly="1" outline="0" axis="axisRow" fieldPosition="1"/>
    </format>
    <format dxfId="1129">
      <pivotArea dataOnly="0" labelOnly="1" outline="0" fieldPosition="0">
        <references count="1">
          <reference field="1" count="0"/>
        </references>
      </pivotArea>
    </format>
    <format dxfId="1128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127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126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125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124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123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122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121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120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119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118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117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116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115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114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113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112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111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110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109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108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107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10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05">
      <pivotArea type="topRight" dataOnly="0" labelOnly="1" outline="0" offset="C1" fieldPosition="0"/>
    </format>
    <format dxfId="1104">
      <pivotArea type="topRight" dataOnly="0" labelOnly="1" outline="0" offset="A1" fieldPosition="0"/>
    </format>
    <format dxfId="110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02">
      <pivotArea type="origin" dataOnly="0" labelOnly="1" outline="0" offset="B1" fieldPosition="0"/>
    </format>
    <format dxfId="1101">
      <pivotArea field="0" type="button" dataOnly="0" labelOnly="1" outline="0" axis="axisRow" fieldPosition="1"/>
    </format>
    <format dxfId="1100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099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098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097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096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095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094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093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092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091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090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089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088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087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086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085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08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083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08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08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080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079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078">
      <pivotArea type="origin" dataOnly="0" labelOnly="1" outline="0" fieldPosition="0"/>
    </format>
    <format dxfId="1077">
      <pivotArea field="-2" type="button" dataOnly="0" labelOnly="1" outline="0" axis="axisCol" fieldPosition="0"/>
    </format>
    <format dxfId="1076">
      <pivotArea type="topRight" dataOnly="0" labelOnly="1" outline="0" fieldPosition="0"/>
    </format>
    <format dxfId="1075">
      <pivotArea field="1" type="button" dataOnly="0" labelOnly="1" outline="0" axis="axisRow" fieldPosition="0"/>
    </format>
    <format dxfId="1074">
      <pivotArea field="0" type="button" dataOnly="0" labelOnly="1" outline="0" axis="axisRow" fieldPosition="1"/>
    </format>
    <format dxfId="107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72">
      <pivotArea type="all" dataOnly="0" outline="0" fieldPosition="0"/>
    </format>
    <format dxfId="1071">
      <pivotArea outline="0" collapsedLevelsAreSubtotals="1" fieldPosition="0"/>
    </format>
    <format dxfId="1070">
      <pivotArea type="origin" dataOnly="0" labelOnly="1" outline="0" fieldPosition="0"/>
    </format>
    <format dxfId="1069">
      <pivotArea field="-2" type="button" dataOnly="0" labelOnly="1" outline="0" axis="axisCol" fieldPosition="0"/>
    </format>
    <format dxfId="1068">
      <pivotArea type="topRight" dataOnly="0" labelOnly="1" outline="0" fieldPosition="0"/>
    </format>
    <format dxfId="1067">
      <pivotArea field="1" type="button" dataOnly="0" labelOnly="1" outline="0" axis="axisRow" fieldPosition="0"/>
    </format>
    <format dxfId="1066">
      <pivotArea field="0" type="button" dataOnly="0" labelOnly="1" outline="0" axis="axisRow" fieldPosition="1"/>
    </format>
    <format dxfId="1065">
      <pivotArea dataOnly="0" labelOnly="1" outline="0" fieldPosition="0">
        <references count="1">
          <reference field="1" count="0"/>
        </references>
      </pivotArea>
    </format>
    <format dxfId="1064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063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062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061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060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059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058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057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056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055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054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053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052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051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050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049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048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047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046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045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044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043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04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4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40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039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038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037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036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035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034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033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032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031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030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029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028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027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026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025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02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023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102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02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1020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1019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1018">
      <pivotArea dataOnly="0" labelOnly="1" outline="0" fieldPosition="0">
        <references count="1">
          <reference field="1" count="0"/>
        </references>
      </pivotArea>
    </format>
    <format dxfId="1017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016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1015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1014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1013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1012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1011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1010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1009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1008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1007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1006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1005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1004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1003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1002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1001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1000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999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998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997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996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995">
      <pivotArea outline="0" fieldPosition="0">
        <references count="1">
          <reference field="4294967294" count="1" selected="0">
            <x v="1"/>
          </reference>
        </references>
      </pivotArea>
    </format>
    <format dxfId="994">
      <pivotArea outline="0" fieldPosition="0">
        <references count="1">
          <reference field="4294967294" count="1" selected="0">
            <x v="1"/>
          </reference>
        </references>
      </pivotArea>
    </format>
    <format dxfId="993">
      <pivotArea outline="0" fieldPosition="0">
        <references count="1">
          <reference field="4294967294" count="1" selected="0">
            <x v="1"/>
          </reference>
        </references>
      </pivotArea>
    </format>
    <format dxfId="992">
      <pivotArea dataOnly="0" labelOnly="1" outline="0" fieldPosition="0">
        <references count="1">
          <reference field="1" count="0"/>
        </references>
      </pivotArea>
    </format>
    <format dxfId="991">
      <pivotArea type="all" dataOnly="0" outline="0" fieldPosition="0"/>
    </format>
    <format dxfId="990">
      <pivotArea outline="0" collapsedLevelsAreSubtotals="1" fieldPosition="0"/>
    </format>
    <format dxfId="989">
      <pivotArea type="origin" dataOnly="0" labelOnly="1" outline="0" fieldPosition="0"/>
    </format>
    <format dxfId="988">
      <pivotArea field="-2" type="button" dataOnly="0" labelOnly="1" outline="0" axis="axisCol" fieldPosition="0"/>
    </format>
    <format dxfId="987">
      <pivotArea type="topRight" dataOnly="0" labelOnly="1" outline="0" fieldPosition="0"/>
    </format>
    <format dxfId="986">
      <pivotArea field="1" type="button" dataOnly="0" labelOnly="1" outline="0" axis="axisRow" fieldPosition="0"/>
    </format>
    <format dxfId="985">
      <pivotArea field="0" type="button" dataOnly="0" labelOnly="1" outline="0" axis="axisRow" fieldPosition="1"/>
    </format>
    <format dxfId="984">
      <pivotArea dataOnly="0" labelOnly="1" outline="0" fieldPosition="0">
        <references count="1">
          <reference field="1" count="0"/>
        </references>
      </pivotArea>
    </format>
    <format dxfId="983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982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981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980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979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978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977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976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975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974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973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972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971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970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969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968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967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966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965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964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963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962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96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60">
      <pivotArea dataOnly="0" labelOnly="1" outline="0" fieldPosition="0">
        <references count="1">
          <reference field="1" count="0"/>
        </references>
      </pivotArea>
    </format>
    <format dxfId="959">
      <pivotArea dataOnly="0" labelOnly="1" outline="0" fieldPosition="0">
        <references count="1">
          <reference field="1" count="0"/>
        </references>
      </pivotArea>
    </format>
    <format dxfId="958">
      <pivotArea dataOnly="0" labelOnly="1" outline="0" fieldPosition="0">
        <references count="1">
          <reference field="1" count="0"/>
        </references>
      </pivotArea>
    </format>
    <format dxfId="957">
      <pivotArea dataOnly="0" labelOnly="1" outline="0" fieldPosition="0">
        <references count="1">
          <reference field="1" count="0"/>
        </references>
      </pivotArea>
    </format>
    <format dxfId="956">
      <pivotArea dataOnly="0" labelOnly="1" outline="0" fieldPosition="0">
        <references count="1">
          <reference field="1" count="0"/>
        </references>
      </pivotArea>
    </format>
    <format dxfId="955">
      <pivotArea type="all" dataOnly="0" outline="0" fieldPosition="0"/>
    </format>
    <format dxfId="954">
      <pivotArea outline="0" collapsedLevelsAreSubtotals="1" fieldPosition="0"/>
    </format>
    <format dxfId="953">
      <pivotArea type="origin" dataOnly="0" labelOnly="1" outline="0" fieldPosition="0"/>
    </format>
    <format dxfId="952">
      <pivotArea field="-2" type="button" dataOnly="0" labelOnly="1" outline="0" axis="axisCol" fieldPosition="0"/>
    </format>
    <format dxfId="951">
      <pivotArea type="topRight" dataOnly="0" labelOnly="1" outline="0" fieldPosition="0"/>
    </format>
    <format dxfId="950">
      <pivotArea field="1" type="button" dataOnly="0" labelOnly="1" outline="0" axis="axisRow" fieldPosition="0"/>
    </format>
    <format dxfId="949">
      <pivotArea field="0" type="button" dataOnly="0" labelOnly="1" outline="0" axis="axisRow" fieldPosition="1"/>
    </format>
    <format dxfId="948">
      <pivotArea dataOnly="0" labelOnly="1" outline="0" fieldPosition="0">
        <references count="1">
          <reference field="1" count="0"/>
        </references>
      </pivotArea>
    </format>
    <format dxfId="947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946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945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944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943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942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941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940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939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938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937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936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935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934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933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932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931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930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929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928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927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926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92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24">
      <pivotArea dataOnly="0" labelOnly="1" outline="0" fieldPosition="0">
        <references count="1">
          <reference field="1" count="0"/>
        </references>
      </pivotArea>
    </format>
    <format dxfId="923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922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921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920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919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918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917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916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915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914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913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912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911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910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909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908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907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906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905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904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903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902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90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00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899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898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89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96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895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894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893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892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891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890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889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888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887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886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885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884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883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882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881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879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878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877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876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875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874">
      <pivotArea outline="0" collapsedLevelsAreSubtotals="1" fieldPosition="0"/>
    </format>
    <format dxfId="873">
      <pivotArea field="1" type="button" dataOnly="0" labelOnly="1" outline="0" axis="axisRow" fieldPosition="0"/>
    </format>
    <format dxfId="872">
      <pivotArea field="0" type="button" dataOnly="0" labelOnly="1" outline="0" axis="axisRow" fieldPosition="1"/>
    </format>
    <format dxfId="871">
      <pivotArea dataOnly="0" labelOnly="1" outline="0" fieldPosition="0">
        <references count="1">
          <reference field="1" count="0"/>
        </references>
      </pivotArea>
    </format>
    <format dxfId="870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869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868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867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866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865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864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863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862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861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860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859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858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857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856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855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85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853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85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85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850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849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84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4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46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845">
      <pivotArea field="1" type="button" dataOnly="0" labelOnly="1" outline="0" axis="axisRow" fieldPosition="0"/>
    </format>
    <format dxfId="844">
      <pivotArea field="0" type="button" dataOnly="0" labelOnly="1" outline="0" axis="axisRow" fieldPosition="1"/>
    </format>
    <format dxfId="843">
      <pivotArea dataOnly="0" labelOnly="1" outline="0" fieldPosition="0">
        <references count="1">
          <reference field="1" count="0"/>
        </references>
      </pivotArea>
    </format>
    <format dxfId="842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841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840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839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838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837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836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835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83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831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830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829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828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827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826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825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824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823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822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82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8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19">
      <pivotArea outline="0" collapsedLevelsAreSubtotals="1" fieldPosition="0"/>
    </format>
    <format dxfId="818">
      <pivotArea dataOnly="0" labelOnly="1" outline="0" fieldPosition="0">
        <references count="1">
          <reference field="1" count="0"/>
        </references>
      </pivotArea>
    </format>
    <format dxfId="817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816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815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814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813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812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811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810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809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808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807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806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805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804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803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802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801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800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799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798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797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796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795">
      <pivotArea outline="0" collapsedLevelsAreSubtotals="1" fieldPosition="0"/>
    </format>
    <format dxfId="794">
      <pivotArea dataOnly="0" labelOnly="1" outline="0" fieldPosition="0">
        <references count="1">
          <reference field="1" count="0"/>
        </references>
      </pivotArea>
    </format>
    <format dxfId="793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792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791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790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789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788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787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786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785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784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783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782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781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780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779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778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777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776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775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77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773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772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771">
      <pivotArea outline="0" collapsedLevelsAreSubtotals="1" fieldPosition="0"/>
    </format>
    <format dxfId="770">
      <pivotArea dataOnly="0" labelOnly="1" outline="0" fieldPosition="0">
        <references count="1">
          <reference field="1" count="0"/>
        </references>
      </pivotArea>
    </format>
    <format dxfId="769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768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767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766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765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764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763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762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761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760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759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758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757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756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755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754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753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752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751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750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749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748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747">
      <pivotArea outline="0" collapsedLevelsAreSubtotals="1" fieldPosition="0"/>
    </format>
    <format dxfId="746">
      <pivotArea field="1" type="button" dataOnly="0" labelOnly="1" outline="0" axis="axisRow" fieldPosition="0"/>
    </format>
    <format dxfId="745">
      <pivotArea field="0" type="button" dataOnly="0" labelOnly="1" outline="0" axis="axisRow" fieldPosition="1"/>
    </format>
    <format dxfId="744">
      <pivotArea dataOnly="0" labelOnly="1" outline="0" fieldPosition="0">
        <references count="1">
          <reference field="1" count="0"/>
        </references>
      </pivotArea>
    </format>
    <format dxfId="743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742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741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740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739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738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737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736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735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734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733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732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731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730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729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728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727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726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725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72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722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721">
      <pivotArea dataOnly="0" labelOnly="1" outline="0" fieldPosition="0">
        <references count="1">
          <reference field="4294967294" count="3">
            <x v="0"/>
            <x v="1"/>
            <x v="4"/>
          </reference>
        </references>
      </pivotArea>
    </format>
    <format dxfId="720">
      <pivotArea field="0" type="button" dataOnly="0" labelOnly="1" outline="0" axis="axisRow" fieldPosition="1"/>
    </format>
    <format dxfId="7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18">
      <pivotArea outline="0" collapsedLevelsAreSubtotals="1" fieldPosition="0"/>
    </format>
    <format dxfId="717">
      <pivotArea dataOnly="0" labelOnly="1" outline="0" fieldPosition="0">
        <references count="1">
          <reference field="1" count="0"/>
        </references>
      </pivotArea>
    </format>
    <format dxfId="716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715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714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713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712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711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710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709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708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707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706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705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704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703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702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701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700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699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698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697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696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695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694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693">
      <pivotArea outline="0" collapsedLevelsAreSubtotals="1" fieldPosition="0"/>
    </format>
    <format dxfId="692">
      <pivotArea field="1" type="button" dataOnly="0" labelOnly="1" outline="0" axis="axisRow" fieldPosition="0"/>
    </format>
    <format dxfId="691">
      <pivotArea field="0" type="button" dataOnly="0" labelOnly="1" outline="0" axis="axisRow" fieldPosition="1"/>
    </format>
    <format dxfId="69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89">
      <pivotArea outline="0" collapsedLevelsAreSubtotals="1" fieldPosition="0"/>
    </format>
    <format dxfId="688">
      <pivotArea dataOnly="0" labelOnly="1" outline="0" fieldPosition="0">
        <references count="1">
          <reference field="1" count="0"/>
        </references>
      </pivotArea>
    </format>
    <format dxfId="687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686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685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68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683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682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681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680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679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678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677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676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675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673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672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671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670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669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668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667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666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</formats>
  <pivotHierarchies count="6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Total Pts"/>
    <pivotHierarchy dragToRow="0" dragToCol="0" dragToPage="0" dragToData="1" caption="FY21 Grant $'s"/>
    <pivotHierarchy dragToRow="0" dragToCol="0" dragToPage="0" dragToData="1" caption="FY22 Request"/>
    <pivotHierarchy dragToRow="0" dragToCol="0" dragToPage="0" dragToData="1"/>
    <pivotHierarchy dragToRow="0" dragToCol="0" dragToPage="0" dragToData="1" caption="Budget"/>
    <pivotHierarchy dragToRow="0" dragToCol="0" dragToPage="0" dragToData="1" caption="Equity"/>
    <pivotHierarchy dragToRow="0" dragToCol="0" dragToPage="0" dragToData="1" caption="Capacity"/>
    <pivotHierarchy dragToRow="0" dragToCol="0" dragToPage="0" dragToData="1" caption="Proposed Results"/>
    <pivotHierarchy dragToRow="0" dragToCol="0" dragToPage="0" dragToData="1" caption="Project Plan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Members Scoring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2" showRowHeaders="1" showColHeaders="1" showRowStripes="0" showColStripes="0" showLastColumn="1"/>
  <rowHierarchiesUsage count="2">
    <rowHierarchyUsage hierarchyUsage="6"/>
    <rowHierarchyUsage hierarchyUsage="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>
        <x14:conditionalFormats count="3">
          <x14:conditionalFormat priority="3" id="{C65C0C57-689F-4944-89E7-306C127DE554}">
            <x14:pivotAreas count="1">
              <pivotArea type="data" outline="0" collapsedLevelsAreSubtotals="1" fieldPosition="0">
                <references count="1">
                  <reference field="4294967294" count="1" selected="0">
                    <x v="4"/>
                  </reference>
                </references>
              </pivotArea>
            </x14:pivotAreas>
          </x14:conditionalFormat>
          <x14:conditionalFormat priority="2" id="{4709F8FE-103F-4035-94DC-68BC7F069ECE}">
            <x14:pivotAreas count="1">
              <pivotArea type="data" outline="0" collapsedLevelsAreSubtotals="1" fieldPosition="0">
                <references count="1">
                  <reference field="4294967294" count="1" selected="0">
                    <x v="4"/>
                  </reference>
                </references>
              </pivotArea>
            </x14:pivotAreas>
          </x14:conditionalFormat>
          <x14:conditionalFormat priority="1" id="{A5B748BA-0DB0-48F9-AF44-0E7AAB4DE1E7}">
            <x14:pivotAreas count="1">
              <pivotArea type="data" outline="0" collapsedLevelsAreSubtotals="1" fieldPosition="0">
                <references count="1">
                  <reference field="4294967294" count="1" selected="0">
                    <x v="4"/>
                  </reference>
                </references>
              </pivotArea>
            </x14:pivotAreas>
          </x14:conditionalFormat>
        </x14:conditionalFormats>
      </x14:pivotTableDefinition>
    </ext>
    <ext xmlns:x15="http://schemas.microsoft.com/office/spreadsheetml/2010/11/main" uri="{E67621CE-5B39-4880-91FE-76760E9C1902}">
      <x15:pivotTableUISettings>
        <x15:activeTabTopLevelEntity name="[Scores]"/>
      </x15:pivotTableUISettings>
    </ext>
  </extLst>
</pivotTableDefinition>
</file>

<file path=xl/pivotTables/pivotTable3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tag="ce46b8ad-9dac-4f8b-9107-cb961ad25eb2" updatedVersion="6" minRefreshableVersion="3" subtotalHiddenItems="1" rowGrandTotals="0" itemPrintTitles="1" createdVersion="6" indent="0" compact="0" compactData="0" gridDropZones="1" multipleFieldFilters="0">
  <location ref="B4:I27" firstHeaderRow="1" firstDataRow="2" firstDataCol="2"/>
  <pivotFields count="8">
    <pivotField axis="axisRow" compact="0" allDrilled="1" outline="0" subtotalTop="0" showAll="0" defaultSubtotal="0" defaultAttributeDrillState="1">
      <items count="17">
        <item x="0"/>
        <item x="8"/>
        <item x="7"/>
        <item x="15"/>
        <item x="6"/>
        <item x="4"/>
        <item x="2"/>
        <item x="3"/>
        <item x="5"/>
        <item x="9"/>
        <item x="10"/>
        <item x="1"/>
        <item x="11"/>
        <item x="12"/>
        <item x="13"/>
        <item n="Swannanoa Valley Child Care Council" x="14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sortType="descending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  <autoSortScope>
        <pivotArea dataOnly="0" outline="0" fieldPosition="0">
          <references count="1">
            <reference field="4294967294" count="1" selected="0">
              <x v="5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22">
    <i>
      <x/>
      <x/>
    </i>
    <i>
      <x v="1"/>
      <x v="13"/>
    </i>
    <i>
      <x v="2"/>
      <x v="12"/>
    </i>
    <i>
      <x v="3"/>
      <x v="20"/>
    </i>
    <i>
      <x v="4"/>
      <x v="10"/>
    </i>
    <i r="1">
      <x v="9"/>
    </i>
    <i r="1">
      <x v="11"/>
    </i>
    <i r="1">
      <x v="8"/>
    </i>
    <i>
      <x v="5"/>
      <x v="5"/>
    </i>
    <i r="1">
      <x v="6"/>
    </i>
    <i r="1">
      <x v="4"/>
    </i>
    <i>
      <x v="6"/>
      <x v="2"/>
    </i>
    <i>
      <x v="7"/>
      <x v="3"/>
    </i>
    <i>
      <x v="8"/>
      <x v="7"/>
    </i>
    <i>
      <x v="9"/>
      <x v="14"/>
    </i>
    <i>
      <x v="10"/>
      <x v="15"/>
    </i>
    <i>
      <x v="11"/>
      <x v="1"/>
    </i>
    <i>
      <x v="12"/>
      <x v="16"/>
    </i>
    <i>
      <x v="13"/>
      <x v="17"/>
    </i>
    <i>
      <x v="14"/>
      <x v="18"/>
    </i>
    <i>
      <x v="15"/>
      <x v="19"/>
    </i>
    <i>
      <x v="16"/>
      <x v="21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FY21 Grant $'s" fld="2" subtotal="count" baseField="0" baseItem="0" numFmtId="167"/>
    <dataField name="FY22 Request" fld="3" subtotal="count" baseField="0" baseItem="0" numFmtId="167"/>
    <dataField fld="5" subtotal="count" baseField="0" baseItem="0"/>
    <dataField fld="4" subtotal="count" baseField="0" baseItem="0"/>
    <dataField name="Total Pts" fld="7" baseField="0" baseItem="0"/>
    <dataField name="Score %*" fld="6" subtotal="count" baseField="0" baseItem="0"/>
  </dataFields>
  <formats count="196">
    <format dxfId="661">
      <pivotArea dataOnly="0" labelOnly="1" outline="0" fieldPosition="0">
        <references count="1">
          <reference field="1" count="0"/>
        </references>
      </pivotArea>
    </format>
    <format dxfId="660">
      <pivotArea outline="0" collapsedLevelsAreSubtotals="1" fieldPosition="0"/>
    </format>
    <format dxfId="659">
      <pivotArea dataOnly="0" labelOnly="1" outline="0" fieldPosition="0">
        <references count="1">
          <reference field="1" count="0"/>
        </references>
      </pivotArea>
    </format>
    <format dxfId="658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657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656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655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654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653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652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651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650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649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648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647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646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645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644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643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642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641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640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639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638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637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6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35">
      <pivotArea field="-2" type="button" dataOnly="0" labelOnly="1" outline="0" axis="axisCol" fieldPosition="0"/>
    </format>
    <format dxfId="634">
      <pivotArea type="origin" dataOnly="0" labelOnly="1" outline="0" fieldPosition="0"/>
    </format>
    <format dxfId="633">
      <pivotArea field="-2" type="button" dataOnly="0" labelOnly="1" outline="0" axis="axisCol" fieldPosition="0"/>
    </format>
    <format dxfId="632">
      <pivotArea type="topRight" dataOnly="0" labelOnly="1" outline="0" fieldPosition="0"/>
    </format>
    <format dxfId="631">
      <pivotArea field="1" type="button" dataOnly="0" labelOnly="1" outline="0" axis="axisRow" fieldPosition="1"/>
    </format>
    <format dxfId="630">
      <pivotArea field="0" type="button" dataOnly="0" labelOnly="1" outline="0" axis="axisRow" fieldPosition="0"/>
    </format>
    <format dxfId="6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27">
      <pivotArea field="1" type="button" dataOnly="0" labelOnly="1" outline="0" axis="axisRow" fieldPosition="1"/>
    </format>
    <format dxfId="626">
      <pivotArea field="0" type="button" dataOnly="0" labelOnly="1" outline="0" axis="axisRow" fieldPosition="0"/>
    </format>
    <format dxfId="625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624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623">
      <pivotArea type="all" dataOnly="0" outline="0" fieldPosition="0"/>
    </format>
    <format dxfId="622">
      <pivotArea outline="0" collapsedLevelsAreSubtotals="1" fieldPosition="0"/>
    </format>
    <format dxfId="621">
      <pivotArea type="origin" dataOnly="0" labelOnly="1" outline="0" fieldPosition="0"/>
    </format>
    <format dxfId="620">
      <pivotArea field="-2" type="button" dataOnly="0" labelOnly="1" outline="0" axis="axisCol" fieldPosition="0"/>
    </format>
    <format dxfId="619">
      <pivotArea type="topRight" dataOnly="0" labelOnly="1" outline="0" fieldPosition="0"/>
    </format>
    <format dxfId="618">
      <pivotArea field="1" type="button" dataOnly="0" labelOnly="1" outline="0" axis="axisRow" fieldPosition="1"/>
    </format>
    <format dxfId="617">
      <pivotArea field="0" type="button" dataOnly="0" labelOnly="1" outline="0" axis="axisRow" fieldPosition="0"/>
    </format>
    <format dxfId="616">
      <pivotArea dataOnly="0" labelOnly="1" outline="0" fieldPosition="0">
        <references count="1">
          <reference field="1" count="0"/>
        </references>
      </pivotArea>
    </format>
    <format dxfId="615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614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613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612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611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610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609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608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607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606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605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604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603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602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601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600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599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598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597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596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595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594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59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92">
      <pivotArea type="topRight" dataOnly="0" labelOnly="1" outline="0" offset="C1" fieldPosition="0"/>
    </format>
    <format dxfId="591">
      <pivotArea type="topRight" dataOnly="0" labelOnly="1" outline="0" offset="A1" fieldPosition="0"/>
    </format>
    <format dxfId="59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89">
      <pivotArea type="origin" dataOnly="0" labelOnly="1" outline="0" offset="B1" fieldPosition="0"/>
    </format>
    <format dxfId="588">
      <pivotArea field="0" type="button" dataOnly="0" labelOnly="1" outline="0" axis="axisRow" fieldPosition="0"/>
    </format>
    <format dxfId="587">
      <pivotArea dataOnly="0" labelOnly="1" outline="0" fieldPosition="0">
        <references count="1">
          <reference field="4294967294" count="3">
            <x v="2"/>
            <x v="3"/>
            <x v="5"/>
          </reference>
        </references>
      </pivotArea>
    </format>
    <format dxfId="586">
      <pivotArea outline="0" collapsedLevelsAreSubtotals="1" fieldPosition="0"/>
    </format>
    <format dxfId="58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84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583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582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581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580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579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578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577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576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575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574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573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572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571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570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569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568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567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566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565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564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563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562">
      <pivotArea type="all" dataOnly="0" outline="0" fieldPosition="0"/>
    </format>
    <format dxfId="561">
      <pivotArea outline="0" collapsedLevelsAreSubtotals="1" fieldPosition="0"/>
    </format>
    <format dxfId="560">
      <pivotArea type="origin" dataOnly="0" labelOnly="1" outline="0" fieldPosition="0"/>
    </format>
    <format dxfId="559">
      <pivotArea field="-2" type="button" dataOnly="0" labelOnly="1" outline="0" axis="axisCol" fieldPosition="0"/>
    </format>
    <format dxfId="558">
      <pivotArea type="topRight" dataOnly="0" labelOnly="1" outline="0" fieldPosition="0"/>
    </format>
    <format dxfId="557">
      <pivotArea field="1" type="button" dataOnly="0" labelOnly="1" outline="0" axis="axisRow" fieldPosition="1"/>
    </format>
    <format dxfId="556">
      <pivotArea field="0" type="button" dataOnly="0" labelOnly="1" outline="0" axis="axisRow" fieldPosition="0"/>
    </format>
    <format dxfId="555">
      <pivotArea dataOnly="0" labelOnly="1" outline="0" fieldPosition="0">
        <references count="1">
          <reference field="1" count="0"/>
        </references>
      </pivotArea>
    </format>
    <format dxfId="554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553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552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551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550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549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548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547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546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545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543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542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541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540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539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538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537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536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535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534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533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53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531">
      <pivotArea type="all" dataOnly="0" outline="0" fieldPosition="0"/>
    </format>
    <format dxfId="530">
      <pivotArea outline="0" collapsedLevelsAreSubtotals="1" fieldPosition="0"/>
    </format>
    <format dxfId="529">
      <pivotArea type="origin" dataOnly="0" labelOnly="1" outline="0" fieldPosition="0"/>
    </format>
    <format dxfId="528">
      <pivotArea field="-2" type="button" dataOnly="0" labelOnly="1" outline="0" axis="axisCol" fieldPosition="0"/>
    </format>
    <format dxfId="527">
      <pivotArea type="topRight" dataOnly="0" labelOnly="1" outline="0" fieldPosition="0"/>
    </format>
    <format dxfId="526">
      <pivotArea field="1" type="button" dataOnly="0" labelOnly="1" outline="0" axis="axisRow" fieldPosition="1"/>
    </format>
    <format dxfId="525">
      <pivotArea field="0" type="button" dataOnly="0" labelOnly="1" outline="0" axis="axisRow" fieldPosition="0"/>
    </format>
    <format dxfId="524">
      <pivotArea dataOnly="0" labelOnly="1" outline="0" fieldPosition="0">
        <references count="1">
          <reference field="1" count="0"/>
        </references>
      </pivotArea>
    </format>
    <format dxfId="523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522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521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520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519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518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517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516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515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514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513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512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511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510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509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508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507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506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505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504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503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502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50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500">
      <pivotArea outline="0" collapsedLevelsAreSubtotals="1" fieldPosition="0"/>
    </format>
    <format dxfId="499">
      <pivotArea dataOnly="0" labelOnly="1" outline="0" fieldPosition="0">
        <references count="1">
          <reference field="1" count="0"/>
        </references>
      </pivotArea>
    </format>
    <format dxfId="498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497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496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495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494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493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492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491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490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489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488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487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486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485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484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483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482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481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480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479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477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476">
      <pivotArea type="origin" dataOnly="0" labelOnly="1" outline="0" fieldPosition="0"/>
    </format>
    <format dxfId="475">
      <pivotArea field="-2" type="button" dataOnly="0" labelOnly="1" outline="0" axis="axisCol" fieldPosition="0"/>
    </format>
    <format dxfId="474">
      <pivotArea type="topRight" dataOnly="0" labelOnly="1" outline="0" fieldPosition="0"/>
    </format>
    <format dxfId="473">
      <pivotArea field="1" type="button" dataOnly="0" labelOnly="1" outline="0" axis="axisRow" fieldPosition="1"/>
    </format>
    <format dxfId="472">
      <pivotArea field="0" type="button" dataOnly="0" labelOnly="1" outline="0" axis="axisRow" fieldPosition="0"/>
    </format>
    <format dxfId="47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70">
      <pivotArea type="origin" dataOnly="0" labelOnly="1" outline="0" offset="B1" fieldPosition="0"/>
    </format>
    <format dxfId="469">
      <pivotArea field="-2" type="button" dataOnly="0" labelOnly="1" outline="0" axis="axisCol" fieldPosition="0"/>
    </format>
    <format dxfId="468">
      <pivotArea type="topRight" dataOnly="0" labelOnly="1" outline="0" fieldPosition="0"/>
    </format>
    <format dxfId="467">
      <pivotArea field="0" type="button" dataOnly="0" labelOnly="1" outline="0" axis="axisRow" fieldPosition="0"/>
    </format>
    <format dxfId="46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onditionalFormats count="3">
    <conditionalFormat priority="3">
      <pivotAreas count="1">
        <pivotArea type="data" outline="0" collapsedLevelsAreSubtotals="1" fieldPosition="0">
          <references count="1">
            <reference field="4294967294" count="1" selected="0">
              <x v="5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5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5"/>
            </reference>
          </references>
        </pivotArea>
      </pivotAreas>
    </conditionalFormat>
  </conditionalFormats>
  <pivotHierarchies count="6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Total Pts"/>
    <pivotHierarchy dragToRow="0" dragToCol="0" dragToPage="0" dragToData="1" caption="FY21 Grant $'s"/>
    <pivotHierarchy dragToRow="0" dragToCol="0" dragToPage="0" dragToData="1" caption="FY22 Request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Score %*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5"/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Scores]"/>
      </x15:pivotTableUISettings>
    </ext>
  </extLst>
</pivotTableDefinition>
</file>

<file path=xl/pivotTables/pivotTable4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tag="ce46b8ad-9dac-4f8b-9107-cb961ad25eb2" updatedVersion="6" minRefreshableVersion="3" subtotalHiddenItems="1" rowGrandTotals="0" itemPrintTitles="1" createdVersion="6" indent="0" compact="0" compactData="0" gridDropZones="1" multipleFieldFilters="0">
  <location ref="B4:E27" firstHeaderRow="1" firstDataRow="2" firstDataCol="2"/>
  <pivotFields count="4">
    <pivotField axis="axisRow" compact="0" allDrilled="1" outline="0" subtotalTop="0" showAll="0" defaultSubtotal="0" defaultAttributeDrillState="1">
      <items count="17">
        <item x="8"/>
        <item x="14"/>
        <item x="7"/>
        <item x="1"/>
        <item x="3"/>
        <item x="0"/>
        <item x="5"/>
        <item x="9"/>
        <item x="10"/>
        <item x="2"/>
        <item x="6"/>
        <item x="13"/>
        <item x="12"/>
        <item x="4"/>
        <item x="15"/>
        <item n="Swannanoa Valley Child Care Council" x="11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sortType="descending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22">
    <i>
      <x v="5"/>
      <x v="4"/>
    </i>
    <i>
      <x v="4"/>
      <x v="4"/>
    </i>
    <i>
      <x v="8"/>
      <x v="5"/>
    </i>
    <i>
      <x v="20"/>
      <x v="4"/>
    </i>
    <i>
      <x v="16"/>
      <x v="5"/>
    </i>
    <i>
      <x v="13"/>
      <x v="8"/>
    </i>
    <i>
      <x v="1"/>
      <x v="3"/>
    </i>
    <i>
      <x v="7"/>
      <x v="6"/>
    </i>
    <i>
      <x v="3"/>
      <x v="4"/>
    </i>
    <i>
      <x/>
      <x v="5"/>
    </i>
    <i>
      <x v="9"/>
      <x v="10"/>
    </i>
    <i>
      <x v="12"/>
      <x v="7"/>
    </i>
    <i>
      <x v="21"/>
      <x v="16"/>
    </i>
    <i>
      <x v="6"/>
      <x v="13"/>
    </i>
    <i>
      <x v="14"/>
      <x v="15"/>
    </i>
    <i>
      <x v="11"/>
      <x/>
    </i>
    <i>
      <x v="10"/>
      <x v="2"/>
    </i>
    <i>
      <x v="18"/>
      <x v="1"/>
    </i>
    <i>
      <x v="19"/>
      <x v="14"/>
    </i>
    <i>
      <x v="15"/>
      <x v="12"/>
    </i>
    <i>
      <x v="2"/>
      <x v="9"/>
    </i>
    <i>
      <x v="17"/>
      <x v="11"/>
    </i>
  </rowItems>
  <colFields count="1">
    <field x="-2"/>
  </colFields>
  <colItems count="2">
    <i>
      <x/>
    </i>
    <i i="1">
      <x v="1"/>
    </i>
  </colItems>
  <dataFields count="2">
    <dataField name="Total Pts" fld="3" baseField="0" baseItem="0"/>
    <dataField name="Score %*" fld="2" subtotal="count" baseField="0" baseItem="0"/>
  </dataFields>
  <formats count="189">
    <format dxfId="453">
      <pivotArea dataOnly="0" labelOnly="1" outline="0" fieldPosition="0">
        <references count="1">
          <reference field="1" count="0"/>
        </references>
      </pivotArea>
    </format>
    <format dxfId="452">
      <pivotArea outline="0" collapsedLevelsAreSubtotals="1" fieldPosition="0"/>
    </format>
    <format dxfId="451">
      <pivotArea dataOnly="0" labelOnly="1" outline="0" fieldPosition="0">
        <references count="1">
          <reference field="1" count="0"/>
        </references>
      </pivotArea>
    </format>
    <format dxfId="450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449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448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447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446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445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444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443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442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441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440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439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438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437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436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435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43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433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43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43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430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429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428">
      <pivotArea field="-2" type="button" dataOnly="0" labelOnly="1" outline="0" axis="axisCol" fieldPosition="0"/>
    </format>
    <format dxfId="427">
      <pivotArea type="origin" dataOnly="0" labelOnly="1" outline="0" fieldPosition="0"/>
    </format>
    <format dxfId="426">
      <pivotArea field="-2" type="button" dataOnly="0" labelOnly="1" outline="0" axis="axisCol" fieldPosition="0"/>
    </format>
    <format dxfId="425">
      <pivotArea type="topRight" dataOnly="0" labelOnly="1" outline="0" fieldPosition="0"/>
    </format>
    <format dxfId="424">
      <pivotArea field="1" type="button" dataOnly="0" labelOnly="1" outline="0" axis="axisRow" fieldPosition="0"/>
    </format>
    <format dxfId="423">
      <pivotArea field="0" type="button" dataOnly="0" labelOnly="1" outline="0" axis="axisRow" fieldPosition="1"/>
    </format>
    <format dxfId="422">
      <pivotArea field="1" type="button" dataOnly="0" labelOnly="1" outline="0" axis="axisRow" fieldPosition="0"/>
    </format>
    <format dxfId="421">
      <pivotArea field="0" type="button" dataOnly="0" labelOnly="1" outline="0" axis="axisRow" fieldPosition="1"/>
    </format>
    <format dxfId="420">
      <pivotArea type="all" dataOnly="0" outline="0" fieldPosition="0"/>
    </format>
    <format dxfId="419">
      <pivotArea outline="0" collapsedLevelsAreSubtotals="1" fieldPosition="0"/>
    </format>
    <format dxfId="418">
      <pivotArea type="origin" dataOnly="0" labelOnly="1" outline="0" fieldPosition="0"/>
    </format>
    <format dxfId="417">
      <pivotArea field="-2" type="button" dataOnly="0" labelOnly="1" outline="0" axis="axisCol" fieldPosition="0"/>
    </format>
    <format dxfId="416">
      <pivotArea type="topRight" dataOnly="0" labelOnly="1" outline="0" fieldPosition="0"/>
    </format>
    <format dxfId="415">
      <pivotArea field="1" type="button" dataOnly="0" labelOnly="1" outline="0" axis="axisRow" fieldPosition="0"/>
    </format>
    <format dxfId="414">
      <pivotArea field="0" type="button" dataOnly="0" labelOnly="1" outline="0" axis="axisRow" fieldPosition="1"/>
    </format>
    <format dxfId="413">
      <pivotArea dataOnly="0" labelOnly="1" outline="0" fieldPosition="0">
        <references count="1">
          <reference field="1" count="0"/>
        </references>
      </pivotArea>
    </format>
    <format dxfId="412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411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410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409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408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407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406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405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404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403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402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401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400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399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398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397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396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395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394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393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392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391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390">
      <pivotArea type="topRight" dataOnly="0" labelOnly="1" outline="0" offset="C1" fieldPosition="0"/>
    </format>
    <format dxfId="389">
      <pivotArea type="topRight" dataOnly="0" labelOnly="1" outline="0" offset="A1" fieldPosition="0"/>
    </format>
    <format dxfId="388">
      <pivotArea type="origin" dataOnly="0" labelOnly="1" outline="0" offset="B1" fieldPosition="0"/>
    </format>
    <format dxfId="387">
      <pivotArea field="0" type="button" dataOnly="0" labelOnly="1" outline="0" axis="axisRow" fieldPosition="1"/>
    </format>
    <format dxfId="38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85">
      <pivotArea outline="0" collapsedLevelsAreSubtotals="1" fieldPosition="0"/>
    </format>
    <format dxfId="38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83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382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381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380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378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377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376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375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374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373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372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371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370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369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368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367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366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365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36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363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362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361">
      <pivotArea type="all" dataOnly="0" outline="0" fieldPosition="0"/>
    </format>
    <format dxfId="360">
      <pivotArea outline="0" collapsedLevelsAreSubtotals="1" fieldPosition="0"/>
    </format>
    <format dxfId="359">
      <pivotArea type="origin" dataOnly="0" labelOnly="1" outline="0" fieldPosition="0"/>
    </format>
    <format dxfId="358">
      <pivotArea field="-2" type="button" dataOnly="0" labelOnly="1" outline="0" axis="axisCol" fieldPosition="0"/>
    </format>
    <format dxfId="357">
      <pivotArea type="topRight" dataOnly="0" labelOnly="1" outline="0" fieldPosition="0"/>
    </format>
    <format dxfId="356">
      <pivotArea field="1" type="button" dataOnly="0" labelOnly="1" outline="0" axis="axisRow" fieldPosition="0"/>
    </format>
    <format dxfId="355">
      <pivotArea field="0" type="button" dataOnly="0" labelOnly="1" outline="0" axis="axisRow" fieldPosition="1"/>
    </format>
    <format dxfId="354">
      <pivotArea dataOnly="0" labelOnly="1" outline="0" fieldPosition="0">
        <references count="1">
          <reference field="1" count="0"/>
        </references>
      </pivotArea>
    </format>
    <format dxfId="353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352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351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350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349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348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347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346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345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344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343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342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341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340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339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338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337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336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335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33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333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332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3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0">
      <pivotArea type="all" dataOnly="0" outline="0" fieldPosition="0"/>
    </format>
    <format dxfId="329">
      <pivotArea outline="0" collapsedLevelsAreSubtotals="1" fieldPosition="0"/>
    </format>
    <format dxfId="328">
      <pivotArea type="origin" dataOnly="0" labelOnly="1" outline="0" fieldPosition="0"/>
    </format>
    <format dxfId="327">
      <pivotArea field="-2" type="button" dataOnly="0" labelOnly="1" outline="0" axis="axisCol" fieldPosition="0"/>
    </format>
    <format dxfId="326">
      <pivotArea type="topRight" dataOnly="0" labelOnly="1" outline="0" fieldPosition="0"/>
    </format>
    <format dxfId="325">
      <pivotArea field="1" type="button" dataOnly="0" labelOnly="1" outline="0" axis="axisRow" fieldPosition="0"/>
    </format>
    <format dxfId="324">
      <pivotArea field="0" type="button" dataOnly="0" labelOnly="1" outline="0" axis="axisRow" fieldPosition="1"/>
    </format>
    <format dxfId="323">
      <pivotArea dataOnly="0" labelOnly="1" outline="0" fieldPosition="0">
        <references count="1">
          <reference field="1" count="0"/>
        </references>
      </pivotArea>
    </format>
    <format dxfId="322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321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320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319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318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317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316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315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314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313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31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311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310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309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308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307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306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305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304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303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302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301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3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9">
      <pivotArea outline="0" collapsedLevelsAreSubtotals="1" fieldPosition="0"/>
    </format>
    <format dxfId="298">
      <pivotArea dataOnly="0" labelOnly="1" outline="0" fieldPosition="0">
        <references count="1">
          <reference field="1" count="0"/>
        </references>
      </pivotArea>
    </format>
    <format dxfId="297">
      <pivotArea dataOnly="0" labelOnly="1" outline="0" fieldPosition="0">
        <references count="2">
          <reference field="0" count="1">
            <x v="4"/>
          </reference>
          <reference field="1" count="1" selected="0">
            <x v="5"/>
          </reference>
        </references>
      </pivotArea>
    </format>
    <format dxfId="296">
      <pivotArea dataOnly="0" labelOnly="1" outline="0" fieldPosition="0">
        <references count="2">
          <reference field="0" count="1">
            <x v="4"/>
          </reference>
          <reference field="1" count="1" selected="0">
            <x v="4"/>
          </reference>
        </references>
      </pivotArea>
    </format>
    <format dxfId="295">
      <pivotArea dataOnly="0" labelOnly="1" outline="0" fieldPosition="0">
        <references count="2">
          <reference field="0" count="1">
            <x v="5"/>
          </reference>
          <reference field="1" count="1" selected="0">
            <x v="8"/>
          </reference>
        </references>
      </pivotArea>
    </format>
    <format dxfId="294">
      <pivotArea dataOnly="0" labelOnly="1" outline="0" fieldPosition="0">
        <references count="2">
          <reference field="0" count="1">
            <x v="4"/>
          </reference>
          <reference field="1" count="1" selected="0">
            <x v="20"/>
          </reference>
        </references>
      </pivotArea>
    </format>
    <format dxfId="293">
      <pivotArea dataOnly="0" labelOnly="1" outline="0" fieldPosition="0">
        <references count="2">
          <reference field="0" count="1">
            <x v="5"/>
          </reference>
          <reference field="1" count="1" selected="0">
            <x v="16"/>
          </reference>
        </references>
      </pivotArea>
    </format>
    <format dxfId="292">
      <pivotArea dataOnly="0" labelOnly="1" outline="0" fieldPosition="0">
        <references count="2">
          <reference field="0" count="1">
            <x v="8"/>
          </reference>
          <reference field="1" count="1" selected="0">
            <x v="13"/>
          </reference>
        </references>
      </pivotArea>
    </format>
    <format dxfId="291">
      <pivotArea dataOnly="0" labelOnly="1" outline="0" fieldPosition="0">
        <references count="2">
          <reference field="0" count="1">
            <x v="3"/>
          </reference>
          <reference field="1" count="1" selected="0">
            <x v="1"/>
          </reference>
        </references>
      </pivotArea>
    </format>
    <format dxfId="290">
      <pivotArea dataOnly="0" labelOnly="1" outline="0" fieldPosition="0">
        <references count="2">
          <reference field="0" count="1">
            <x v="6"/>
          </reference>
          <reference field="1" count="1" selected="0">
            <x v="7"/>
          </reference>
        </references>
      </pivotArea>
    </format>
    <format dxfId="289">
      <pivotArea dataOnly="0" labelOnly="1" outline="0" fieldPosition="0">
        <references count="2">
          <reference field="0" count="1">
            <x v="4"/>
          </reference>
          <reference field="1" count="1" selected="0">
            <x v="3"/>
          </reference>
        </references>
      </pivotArea>
    </format>
    <format dxfId="288">
      <pivotArea dataOnly="0" labelOnly="1" outline="0" fieldPosition="0">
        <references count="2">
          <reference field="0" count="1">
            <x v="5"/>
          </reference>
          <reference field="1" count="1" selected="0">
            <x v="0"/>
          </reference>
        </references>
      </pivotArea>
    </format>
    <format dxfId="287">
      <pivotArea dataOnly="0" labelOnly="1" outline="0" fieldPosition="0">
        <references count="2">
          <reference field="0" count="1">
            <x v="10"/>
          </reference>
          <reference field="1" count="1" selected="0">
            <x v="9"/>
          </reference>
        </references>
      </pivotArea>
    </format>
    <format dxfId="286">
      <pivotArea dataOnly="0" labelOnly="1" outline="0" fieldPosition="0">
        <references count="2">
          <reference field="0" count="1">
            <x v="7"/>
          </reference>
          <reference field="1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284">
      <pivotArea dataOnly="0" labelOnly="1" outline="0" fieldPosition="0">
        <references count="2">
          <reference field="0" count="1">
            <x v="13"/>
          </reference>
          <reference field="1" count="1" selected="0">
            <x v="6"/>
          </reference>
        </references>
      </pivotArea>
    </format>
    <format dxfId="283">
      <pivotArea dataOnly="0" labelOnly="1" outline="0" fieldPosition="0">
        <references count="2">
          <reference field="0" count="1">
            <x v="15"/>
          </reference>
          <reference field="1" count="1" selected="0">
            <x v="14"/>
          </reference>
        </references>
      </pivotArea>
    </format>
    <format dxfId="282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281">
      <pivotArea dataOnly="0" labelOnly="1" outline="0" fieldPosition="0">
        <references count="2">
          <reference field="0" count="1">
            <x v="2"/>
          </reference>
          <reference field="1" count="1" selected="0">
            <x v="10"/>
          </reference>
        </references>
      </pivotArea>
    </format>
    <format dxfId="280">
      <pivotArea dataOnly="0" labelOnly="1" outline="0" fieldPosition="0">
        <references count="2">
          <reference field="0" count="1">
            <x v="1"/>
          </reference>
          <reference field="1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0" count="1">
            <x v="14"/>
          </reference>
          <reference field="1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0" count="1">
            <x v="12"/>
          </reference>
          <reference field="1" count="1" selected="0">
            <x v="15"/>
          </reference>
        </references>
      </pivotArea>
    </format>
    <format dxfId="277">
      <pivotArea dataOnly="0" labelOnly="1" outline="0" fieldPosition="0">
        <references count="2">
          <reference field="0" count="1">
            <x v="9"/>
          </reference>
          <reference field="1" count="1" selected="0">
            <x v="2"/>
          </reference>
        </references>
      </pivotArea>
    </format>
    <format dxfId="276">
      <pivotArea dataOnly="0" labelOnly="1" outline="0" fieldPosition="0">
        <references count="2">
          <reference field="0" count="1">
            <x v="11"/>
          </reference>
          <reference field="1" count="1" selected="0">
            <x v="17"/>
          </reference>
        </references>
      </pivotArea>
    </format>
    <format dxfId="275">
      <pivotArea type="origin" dataOnly="0" labelOnly="1" outline="0" fieldPosition="0"/>
    </format>
    <format dxfId="274">
      <pivotArea field="-2" type="button" dataOnly="0" labelOnly="1" outline="0" axis="axisCol" fieldPosition="0"/>
    </format>
    <format dxfId="273">
      <pivotArea type="topRight" dataOnly="0" labelOnly="1" outline="0" fieldPosition="0"/>
    </format>
    <format dxfId="272">
      <pivotArea field="1" type="button" dataOnly="0" labelOnly="1" outline="0" axis="axisRow" fieldPosition="0"/>
    </format>
    <format dxfId="271">
      <pivotArea field="0" type="button" dataOnly="0" labelOnly="1" outline="0" axis="axisRow" fieldPosition="1"/>
    </format>
    <format dxfId="27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9">
      <pivotArea type="origin" dataOnly="0" labelOnly="1" outline="0" offset="B1" fieldPosition="0"/>
    </format>
    <format dxfId="268">
      <pivotArea field="-2" type="button" dataOnly="0" labelOnly="1" outline="0" axis="axisCol" fieldPosition="0"/>
    </format>
    <format dxfId="267">
      <pivotArea type="topRight" dataOnly="0" labelOnly="1" outline="0" fieldPosition="0"/>
    </format>
    <format dxfId="266">
      <pivotArea field="0" type="button" dataOnly="0" labelOnly="1" outline="0" axis="axisRow" fieldPosition="1"/>
    </format>
    <format dxfId="26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3">
    <conditionalFormat priority="20">
      <pivotAreas count="1">
        <pivotArea type="data" outline="0" collapsedLevelsAreSubtotals="1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priority="21">
      <pivotAreas count="1">
        <pivotArea type="data" outline="0" collapsedLevelsAreSubtotals="1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priority="22">
      <pivotAreas count="1">
        <pivotArea type="data" outline="0" collapsedLevelsAreSubtotals="1" fieldPosition="0">
          <references count="1">
            <reference field="4294967294" count="1" selected="0">
              <x v="1"/>
            </reference>
          </references>
        </pivotArea>
      </pivotAreas>
    </conditionalFormat>
  </conditionalFormats>
  <pivotHierarchies count="6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Total Pts"/>
    <pivotHierarchy dragToRow="0" dragToCol="0" dragToPage="0" dragToData="1" caption="FY21 Grant $'s"/>
    <pivotHierarchy dragToRow="0" dragToCol="0" dragToPage="0" dragToData="1" caption="FY22 Request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Score %*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6"/>
    <rowHierarchyUsage hierarchyUsage="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Scores]"/>
      </x15:pivotTableUISettings>
    </ext>
  </extLst>
</pivotTableDefinition>
</file>

<file path=xl/pivotTables/pivotTable5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tag="75e572ea-5d69-4704-a19f-11b2d8f0638d" updatedVersion="6" minRefreshableVersion="3" subtotalHiddenItems="1" rowGrandTotals="0" itemPrintTitles="1" createdVersion="6" indent="0" compact="0" compactData="0" gridDropZones="1" multipleFieldFilters="0">
  <location ref="B2:L25" firstHeaderRow="1" firstDataRow="2" firstDataCol="2"/>
  <pivotFields count="11">
    <pivotField axis="axisRow" compact="0" allDrilled="1" outline="0" subtotalTop="0" showAll="0" defaultSubtotal="0" defaultAttributeDrillState="1">
      <items count="17">
        <item x="0"/>
        <item x="8"/>
        <item x="7"/>
        <item x="15"/>
        <item x="6"/>
        <item x="4"/>
        <item x="2"/>
        <item x="3"/>
        <item x="5"/>
        <item x="9"/>
        <item x="10"/>
        <item x="1"/>
        <item x="11"/>
        <item x="12"/>
        <item x="13"/>
        <item n="Swannanoa Valley Child Care Council" x="14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sortType="descending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  <autoSortScope>
        <pivotArea dataOnly="0" outline="0" fieldPosition="0">
          <references count="1">
            <reference field="4294967294" count="1" selected="0">
              <x v="8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22">
    <i>
      <x/>
      <x/>
    </i>
    <i>
      <x v="1"/>
      <x v="13"/>
    </i>
    <i>
      <x v="2"/>
      <x v="12"/>
    </i>
    <i>
      <x v="3"/>
      <x v="20"/>
    </i>
    <i>
      <x v="4"/>
      <x v="10"/>
    </i>
    <i r="1">
      <x v="9"/>
    </i>
    <i r="1">
      <x v="11"/>
    </i>
    <i r="1">
      <x v="8"/>
    </i>
    <i>
      <x v="5"/>
      <x v="5"/>
    </i>
    <i r="1">
      <x v="6"/>
    </i>
    <i r="1">
      <x v="4"/>
    </i>
    <i>
      <x v="6"/>
      <x v="2"/>
    </i>
    <i>
      <x v="7"/>
      <x v="3"/>
    </i>
    <i>
      <x v="8"/>
      <x v="7"/>
    </i>
    <i>
      <x v="9"/>
      <x v="14"/>
    </i>
    <i>
      <x v="10"/>
      <x v="15"/>
    </i>
    <i>
      <x v="11"/>
      <x v="1"/>
    </i>
    <i>
      <x v="12"/>
      <x v="16"/>
    </i>
    <i>
      <x v="13"/>
      <x v="17"/>
    </i>
    <i>
      <x v="14"/>
      <x v="18"/>
    </i>
    <i>
      <x v="15"/>
      <x v="19"/>
    </i>
    <i>
      <x v="16"/>
      <x v="21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FY22 Request" fld="2" subtotal="count" baseField="0" baseItem="0" numFmtId="167"/>
    <dataField name="Need" fld="3" subtotal="count" baseField="0" baseItem="0"/>
    <dataField name="Project Plan" fld="4" subtotal="count" baseField="0" baseItem="0"/>
    <dataField name="Proposed Results" fld="5" subtotal="count" baseField="0" baseItem="0"/>
    <dataField name="Capacity" fld="6" subtotal="count" baseField="0" baseItem="0"/>
    <dataField name="Equity" fld="7" subtotal="count" baseField="0" baseItem="0"/>
    <dataField name="Buget" fld="8" subtotal="count" baseField="0" baseItem="0"/>
    <dataField name="Overall" fld="9" subtotal="count" baseField="0" baseItem="0"/>
    <dataField name="Total Score %" fld="10" subtotal="count" baseField="0" baseItem="0"/>
  </dataFields>
  <formats count="248">
    <format dxfId="264">
      <pivotArea dataOnly="0" labelOnly="1" outline="0" fieldPosition="0">
        <references count="1">
          <reference field="1" count="0"/>
        </references>
      </pivotArea>
    </format>
    <format dxfId="263">
      <pivotArea outline="0" collapsedLevelsAreSubtotals="1" fieldPosition="0"/>
    </format>
    <format dxfId="262">
      <pivotArea dataOnly="0" labelOnly="1" outline="0" fieldPosition="0">
        <references count="1">
          <reference field="1" count="0"/>
        </references>
      </pivotArea>
    </format>
    <format dxfId="261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260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259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58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257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256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255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254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253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252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251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250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249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248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247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246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244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242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241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240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23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8">
      <pivotArea field="-2" type="button" dataOnly="0" labelOnly="1" outline="0" axis="axisCol" fieldPosition="0"/>
    </format>
    <format dxfId="237">
      <pivotArea type="origin" dataOnly="0" labelOnly="1" outline="0" fieldPosition="0"/>
    </format>
    <format dxfId="236">
      <pivotArea field="-2" type="button" dataOnly="0" labelOnly="1" outline="0" axis="axisCol" fieldPosition="0"/>
    </format>
    <format dxfId="235">
      <pivotArea type="topRight" dataOnly="0" labelOnly="1" outline="0" fieldPosition="0"/>
    </format>
    <format dxfId="234">
      <pivotArea field="1" type="button" dataOnly="0" labelOnly="1" outline="0" axis="axisRow" fieldPosition="1"/>
    </format>
    <format dxfId="233">
      <pivotArea field="0" type="button" dataOnly="0" labelOnly="1" outline="0" axis="axisRow" fieldPosition="0"/>
    </format>
    <format dxfId="23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0">
      <pivotArea field="1" type="button" dataOnly="0" labelOnly="1" outline="0" axis="axisRow" fieldPosition="1"/>
    </format>
    <format dxfId="229">
      <pivotArea field="0" type="button" dataOnly="0" labelOnly="1" outline="0" axis="axisRow" fieldPosition="0"/>
    </format>
    <format dxfId="228">
      <pivotArea outline="0" fieldPosition="0">
        <references count="1">
          <reference field="4294967294" count="1" selected="0">
            <x v="0"/>
          </reference>
        </references>
      </pivotArea>
    </format>
    <format dxfId="227">
      <pivotArea outline="0" fieldPosition="0">
        <references count="1">
          <reference field="4294967294" count="1" selected="0">
            <x v="0"/>
          </reference>
        </references>
      </pivotArea>
    </format>
    <format dxfId="226">
      <pivotArea type="all" dataOnly="0" outline="0" fieldPosition="0"/>
    </format>
    <format dxfId="225">
      <pivotArea outline="0" collapsedLevelsAreSubtotals="1" fieldPosition="0"/>
    </format>
    <format dxfId="224">
      <pivotArea type="origin" dataOnly="0" labelOnly="1" outline="0" fieldPosition="0"/>
    </format>
    <format dxfId="223">
      <pivotArea field="-2" type="button" dataOnly="0" labelOnly="1" outline="0" axis="axisCol" fieldPosition="0"/>
    </format>
    <format dxfId="222">
      <pivotArea type="topRight" dataOnly="0" labelOnly="1" outline="0" fieldPosition="0"/>
    </format>
    <format dxfId="221">
      <pivotArea field="1" type="button" dataOnly="0" labelOnly="1" outline="0" axis="axisRow" fieldPosition="1"/>
    </format>
    <format dxfId="220">
      <pivotArea field="0" type="button" dataOnly="0" labelOnly="1" outline="0" axis="axisRow" fieldPosition="0"/>
    </format>
    <format dxfId="219">
      <pivotArea dataOnly="0" labelOnly="1" outline="0" fieldPosition="0">
        <references count="1">
          <reference field="1" count="0"/>
        </references>
      </pivotArea>
    </format>
    <format dxfId="218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217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216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15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214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213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212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211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210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209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208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207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206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205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204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203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202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201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200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99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198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197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19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5">
      <pivotArea type="topRight" dataOnly="0" labelOnly="1" outline="0" offset="C1" fieldPosition="0"/>
    </format>
    <format dxfId="194">
      <pivotArea type="topRight" dataOnly="0" labelOnly="1" outline="0" offset="A1" fieldPosition="0"/>
    </format>
    <format dxfId="19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2">
      <pivotArea type="origin" dataOnly="0" labelOnly="1" outline="0" offset="B1" fieldPosition="0"/>
    </format>
    <format dxfId="191">
      <pivotArea field="0" type="button" dataOnly="0" labelOnly="1" outline="0" axis="axisRow" fieldPosition="0"/>
    </format>
    <format dxfId="190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189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188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87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186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185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184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183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181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180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179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177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176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175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174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173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17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71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170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169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168">
      <pivotArea type="origin" dataOnly="0" labelOnly="1" outline="0" fieldPosition="0"/>
    </format>
    <format dxfId="167">
      <pivotArea field="-2" type="button" dataOnly="0" labelOnly="1" outline="0" axis="axisCol" fieldPosition="0"/>
    </format>
    <format dxfId="166">
      <pivotArea type="topRight" dataOnly="0" labelOnly="1" outline="0" fieldPosition="0"/>
    </format>
    <format dxfId="165">
      <pivotArea field="1" type="button" dataOnly="0" labelOnly="1" outline="0" axis="axisRow" fieldPosition="1"/>
    </format>
    <format dxfId="164">
      <pivotArea field="0" type="button" dataOnly="0" labelOnly="1" outline="0" axis="axisRow" fieldPosition="0"/>
    </format>
    <format dxfId="16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type="origin" dataOnly="0" labelOnly="1" outline="0" fieldPosition="0"/>
    </format>
    <format dxfId="159">
      <pivotArea field="-2" type="button" dataOnly="0" labelOnly="1" outline="0" axis="axisCol" fieldPosition="0"/>
    </format>
    <format dxfId="158">
      <pivotArea type="topRight" dataOnly="0" labelOnly="1" outline="0" fieldPosition="0"/>
    </format>
    <format dxfId="157">
      <pivotArea field="1" type="button" dataOnly="0" labelOnly="1" outline="0" axis="axisRow" fieldPosition="1"/>
    </format>
    <format dxfId="156">
      <pivotArea field="0" type="button" dataOnly="0" labelOnly="1" outline="0" axis="axisRow" fieldPosition="0"/>
    </format>
    <format dxfId="155">
      <pivotArea dataOnly="0" labelOnly="1" outline="0" fieldPosition="0">
        <references count="1">
          <reference field="1" count="0"/>
        </references>
      </pivotArea>
    </format>
    <format dxfId="154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153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152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51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150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149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148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147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146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145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144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143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142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141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140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139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138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137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136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35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134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133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13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0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129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128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27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126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125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124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123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122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121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120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119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118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117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116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115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114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113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112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111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110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109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108">
      <pivotArea dataOnly="0" labelOnly="1" outline="0" fieldPosition="0">
        <references count="1">
          <reference field="1" count="0"/>
        </references>
      </pivotArea>
    </format>
    <format dxfId="107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106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105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04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103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102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101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100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99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98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97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96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95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94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93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92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91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90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88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87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86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85">
      <pivotArea outline="0" fieldPosition="0">
        <references count="1">
          <reference field="4294967294" count="1" selected="0">
            <x v="0"/>
          </reference>
        </references>
      </pivotArea>
    </format>
    <format dxfId="84">
      <pivotArea outline="0" fieldPosition="0">
        <references count="1">
          <reference field="4294967294" count="1" selected="0">
            <x v="0"/>
          </reference>
        </references>
      </pivotArea>
    </format>
    <format dxfId="83">
      <pivotArea outline="0" fieldPosition="0">
        <references count="1">
          <reference field="4294967294" count="1" selected="0">
            <x v="0"/>
          </reference>
        </references>
      </pivotArea>
    </format>
    <format dxfId="82">
      <pivotArea dataOnly="0" labelOnly="1" outline="0" fieldPosition="0">
        <references count="1">
          <reference field="1" count="0"/>
        </references>
      </pivotArea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fieldPosition="0"/>
    </format>
    <format dxfId="78">
      <pivotArea field="-2" type="button" dataOnly="0" labelOnly="1" outline="0" axis="axisCol" fieldPosition="0"/>
    </format>
    <format dxfId="77">
      <pivotArea type="topRight" dataOnly="0" labelOnly="1" outline="0" fieldPosition="0"/>
    </format>
    <format dxfId="76">
      <pivotArea field="1" type="button" dataOnly="0" labelOnly="1" outline="0" axis="axisRow" fieldPosition="1"/>
    </format>
    <format dxfId="75">
      <pivotArea field="0" type="button" dataOnly="0" labelOnly="1" outline="0" axis="axisRow" fieldPosition="0"/>
    </format>
    <format dxfId="74">
      <pivotArea dataOnly="0" labelOnly="1" outline="0" fieldPosition="0">
        <references count="1">
          <reference field="1" count="0"/>
        </references>
      </pivotArea>
    </format>
    <format dxfId="73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72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71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70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69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68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67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66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65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64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63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62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61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60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59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58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57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56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55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54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53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52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dataOnly="0" labelOnly="1" outline="0" fieldPosition="0">
        <references count="1">
          <reference field="1" count="0"/>
        </references>
      </pivotArea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dataOnly="0" labelOnly="1" outline="0" fieldPosition="0">
        <references count="1">
          <reference field="1" count="0"/>
        </references>
      </pivotArea>
    </format>
    <format dxfId="46">
      <pivotArea dataOnly="0" labelOnly="1" outline="0" fieldPosition="0">
        <references count="1">
          <reference field="1" count="0"/>
        </references>
      </pivotArea>
    </format>
    <format dxfId="45">
      <pivotArea dataOnly="0" labelOnly="1" outline="0" fieldPosition="0">
        <references count="1">
          <reference field="4294967294" count="8"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44">
      <pivotArea type="topRight" dataOnly="0" labelOnly="1" outline="0" fieldPosition="0"/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1" count="0"/>
        </references>
      </pivotArea>
    </format>
    <format dxfId="41">
      <pivotArea dataOnly="0" labelOnly="1" outline="0" fieldPosition="0">
        <references count="2">
          <reference field="0" count="1">
            <x v="4"/>
          </reference>
          <reference field="1" count="1" selected="0">
            <x v="10"/>
          </reference>
        </references>
      </pivotArea>
    </format>
    <format dxfId="40">
      <pivotArea dataOnly="0" labelOnly="1" outline="0" fieldPosition="0">
        <references count="2">
          <reference field="0" count="1">
            <x v="4"/>
          </reference>
          <reference field="1" count="1" selected="0">
            <x v="9"/>
          </reference>
        </references>
      </pivotArea>
    </format>
    <format dxfId="39">
      <pivotArea dataOnly="0" labelOnly="1" outline="0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38">
      <pivotArea dataOnly="0" labelOnly="1" outline="0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37">
      <pivotArea dataOnly="0" labelOnly="1" outline="0" fieldPosition="0">
        <references count="2">
          <reference field="0" count="1">
            <x v="5"/>
          </reference>
          <reference field="1" count="1" selected="0">
            <x v="6"/>
          </reference>
        </references>
      </pivotArea>
    </format>
    <format dxfId="36">
      <pivotArea dataOnly="0" labelOnly="1" outline="0" fieldPosition="0">
        <references count="2">
          <reference field="0" count="1">
            <x v="8"/>
          </reference>
          <reference field="1" count="1" selected="0">
            <x v="7"/>
          </reference>
        </references>
      </pivotArea>
    </format>
    <format dxfId="35">
      <pivotArea dataOnly="0" labelOnly="1" outline="0" fieldPosition="0">
        <references count="2">
          <reference field="0" count="1">
            <x v="3"/>
          </reference>
          <reference field="1" count="1" selected="0">
            <x v="20"/>
          </reference>
        </references>
      </pivotArea>
    </format>
    <format dxfId="34">
      <pivotArea dataOnly="0" labelOnly="1" outline="0" fieldPosition="0">
        <references count="2">
          <reference field="0" count="1">
            <x v="6"/>
          </reference>
          <reference field="1" count="1" selected="0">
            <x v="2"/>
          </reference>
        </references>
      </pivotArea>
    </format>
    <format dxfId="33">
      <pivotArea dataOnly="0" labelOnly="1" outline="0" fieldPosition="0">
        <references count="2">
          <reference field="0" count="1">
            <x v="4"/>
          </reference>
          <reference field="1" count="1" selected="0">
            <x v="8"/>
          </reference>
        </references>
      </pivotArea>
    </format>
    <format dxfId="32">
      <pivotArea dataOnly="0" labelOnly="1" outline="0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31">
      <pivotArea dataOnly="0" labelOnly="1" outline="0" fieldPosition="0">
        <references count="2">
          <reference field="0" count="1">
            <x v="10"/>
          </reference>
          <reference field="1" count="1" selected="0">
            <x v="15"/>
          </reference>
        </references>
      </pivotArea>
    </format>
    <format dxfId="30">
      <pivotArea dataOnly="0" labelOnly="1" outline="0" fieldPosition="0">
        <references count="2">
          <reference field="0" count="1">
            <x v="7"/>
          </reference>
          <reference field="1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0" count="1">
            <x v="16"/>
          </reference>
          <reference field="1" count="1" selected="0">
            <x v="21"/>
          </reference>
        </references>
      </pivotArea>
    </format>
    <format dxfId="28">
      <pivotArea dataOnly="0" labelOnly="1" outline="0" fieldPosition="0">
        <references count="2">
          <reference field="0" count="1">
            <x v="13"/>
          </reference>
          <reference field="1" count="1" selected="0">
            <x v="17"/>
          </reference>
        </references>
      </pivotArea>
    </format>
    <format dxfId="27">
      <pivotArea dataOnly="0" labelOnly="1" outline="0" fieldPosition="0">
        <references count="2">
          <reference field="0" count="1">
            <x v="15"/>
          </reference>
          <reference field="1" count="1" selected="0">
            <x v="19"/>
          </reference>
        </references>
      </pivotArea>
    </format>
    <format dxfId="26">
      <pivotArea dataOnly="0" labelOnly="1" outline="0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25">
      <pivotArea dataOnly="0" labelOnly="1" outline="0" fieldPosition="0">
        <references count="2">
          <reference field="0" count="1">
            <x v="2"/>
          </reference>
          <reference field="1" count="1" selected="0">
            <x v="12"/>
          </reference>
        </references>
      </pivotArea>
    </format>
    <format dxfId="24">
      <pivotArea dataOnly="0" labelOnly="1" outline="0" fieldPosition="0">
        <references count="2">
          <reference field="0" count="1">
            <x v="1"/>
          </reference>
          <reference field="1" count="1" selected="0">
            <x v="13"/>
          </reference>
        </references>
      </pivotArea>
    </format>
    <format dxfId="23">
      <pivotArea dataOnly="0" labelOnly="1" outline="0" fieldPosition="0">
        <references count="2">
          <reference field="0" count="1">
            <x v="14"/>
          </reference>
          <reference field="1" count="1" selected="0">
            <x v="18"/>
          </reference>
        </references>
      </pivotArea>
    </format>
    <format dxfId="22">
      <pivotArea dataOnly="0" labelOnly="1" outline="0" fieldPosition="0">
        <references count="2">
          <reference field="0" count="1">
            <x v="12"/>
          </reference>
          <reference field="1" count="1" selected="0">
            <x v="16"/>
          </reference>
        </references>
      </pivotArea>
    </format>
    <format dxfId="21">
      <pivotArea dataOnly="0" labelOnly="1" outline="0" fieldPosition="0">
        <references count="2">
          <reference field="0" count="1">
            <x v="9"/>
          </reference>
          <reference field="1" count="1" selected="0">
            <x v="14"/>
          </reference>
        </references>
      </pivotArea>
    </format>
    <format dxfId="20">
      <pivotArea dataOnly="0" labelOnly="1" outline="0" fieldPosition="0">
        <references count="2">
          <reference field="0" count="1">
            <x v="11"/>
          </reference>
          <reference field="1" count="1" selected="0">
            <x v="1"/>
          </reference>
        </references>
      </pivotArea>
    </format>
    <format dxfId="19">
      <pivotArea field="-2" type="button" dataOnly="0" labelOnly="1" outline="0" axis="axisCol" fieldPosition="0"/>
    </format>
    <format dxfId="18">
      <pivotArea type="topRight" dataOnly="0" labelOnly="1" outline="0" offset="A1" fieldPosition="0"/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6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 caption="FY21 Grant $'s"/>
    <pivotHierarchy dragToRow="0" dragToCol="0" dragToPage="0" dragToData="1" caption="FY22 Request"/>
    <pivotHierarchy dragToRow="0" dragToCol="0" dragToPage="0" dragToData="1"/>
    <pivotHierarchy dragToRow="0" dragToCol="0" dragToPage="0" dragToData="1" caption="Budget"/>
    <pivotHierarchy dragToRow="0" dragToCol="0" dragToPage="0" dragToData="1" caption="Equity"/>
    <pivotHierarchy dragToRow="0" dragToCol="0" dragToPage="0" dragToData="1" caption="Capacity"/>
    <pivotHierarchy dragToRow="0" dragToCol="0" dragToPage="0" dragToData="1" caption="Proposed Results"/>
    <pivotHierarchy dragToRow="0" dragToCol="0" dragToPage="0" dragToData="1" caption="Project Plan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 caption="Total Score %"/>
    <pivotHierarchy dragToRow="0" dragToCol="0" dragToPage="0" dragToData="1"/>
    <pivotHierarchy dragToRow="0" dragToCol="0" dragToPage="0" dragToData="1" caption="Equity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Buget"/>
    <pivotHierarchy dragToRow="0" dragToCol="0" dragToPage="0" dragToData="1"/>
    <pivotHierarchy dragToRow="0" dragToCol="0" dragToPage="0" dragToData="1" caption="Capacity"/>
    <pivotHierarchy dragToRow="0" dragToCol="0" dragToPage="0" dragToData="1"/>
    <pivotHierarchy dragToRow="0" dragToCol="0" dragToPage="0" dragToData="1" caption="Overall"/>
    <pivotHierarchy dragToRow="0" dragToCol="0" dragToPage="0" dragToData="1"/>
    <pivotHierarchy dragToRow="0" dragToCol="0" dragToPage="0" dragToData="1" caption="Proposed Results"/>
    <pivotHierarchy dragToRow="0" dragToCol="0" dragToPage="0" dragToData="1"/>
    <pivotHierarchy dragToRow="0" dragToCol="0" dragToPage="0" dragToData="1" caption="Project Plan"/>
    <pivotHierarchy dragToRow="0" dragToCol="0" dragToPage="0" dragToData="1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5"/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Scores]"/>
      </x15:pivotTableUISettings>
    </ext>
  </extLst>
</pivotTableDefinition>
</file>

<file path=xl/pivotTables/pivotTable6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tag="00761af3-0bbf-4066-862e-c536b7eaef70" updatedVersion="6" minRefreshableVersion="3" useAutoFormatting="1" rowGrandTotals="0" itemPrintTitles="1" createdVersion="6" indent="0" compact="0" compactData="0" gridDropZones="1" multipleFieldFilters="0">
  <location ref="B3:G26" firstHeaderRow="1" firstDataRow="2" firstDataCol="2"/>
  <pivotFields count="6">
    <pivotField axis="axisRow" compact="0" allDrilled="1" outline="0" showAll="0" dataSourceSort="1" defaultSubtotal="0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allDrilled="1" outline="0" showAll="0" dataSourceSort="1" defaultAttributeDrillState="1">
      <items count="23">
        <item x="0"/>
        <item x="1"/>
        <item n="Early Childhood Systems Coordination &amp; Single Portal of Entry Implementation " x="2"/>
        <item x="3"/>
        <item n="  Child Care Resources: Professional and Systems Development Project " x="4"/>
        <item n="Early Childhood Teacher Workforce Development Program " x="5"/>
        <item n="Staffed Family Child Care Network to Increase FCCH slots "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22">
    <i>
      <x/>
      <x/>
    </i>
    <i>
      <x v="1"/>
      <x v="1"/>
    </i>
    <i>
      <x v="2"/>
      <x v="2"/>
    </i>
    <i>
      <x v="3"/>
      <x v="3"/>
    </i>
    <i>
      <x v="4"/>
      <x v="4"/>
    </i>
    <i r="1">
      <x v="5"/>
    </i>
    <i r="1">
      <x v="6"/>
    </i>
    <i>
      <x v="5"/>
      <x v="7"/>
    </i>
    <i>
      <x v="6"/>
      <x v="8"/>
    </i>
    <i r="1">
      <x v="9"/>
    </i>
    <i r="1">
      <x v="10"/>
    </i>
    <i r="1">
      <x v="11"/>
    </i>
    <i>
      <x v="7"/>
      <x v="12"/>
    </i>
    <i>
      <x v="8"/>
      <x v="13"/>
    </i>
    <i>
      <x v="9"/>
      <x v="14"/>
    </i>
    <i>
      <x v="10"/>
      <x v="15"/>
    </i>
    <i>
      <x v="11"/>
      <x v="16"/>
    </i>
    <i>
      <x v="12"/>
      <x v="17"/>
    </i>
    <i>
      <x v="13"/>
      <x v="18"/>
    </i>
    <i>
      <x v="14"/>
      <x v="19"/>
    </i>
    <i>
      <x v="15"/>
      <x v="20"/>
    </i>
    <i>
      <x v="16"/>
      <x v="21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5" subtotal="count" baseField="0" baseItem="0"/>
    <dataField name="Sum of Equity" fld="3" baseField="0" baseItem="0"/>
    <dataField fld="2" subtotal="count" baseField="0" baseItem="0"/>
    <dataField fld="4" subtotal="count" baseField="0" baseItem="0"/>
  </dataFields>
  <pivotHierarchies count="6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5"/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cores]"/>
      </x15:pivotTableUISettings>
    </ext>
  </extLst>
</pivotTableDefinition>
</file>

<file path=xl/pivotTables/pivotTable7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tag="466f6531-5588-4035-a874-013b0719bf8e" updatedVersion="6" minRefreshableVersion="3" useAutoFormatting="1" rowGrandTotals="0" itemPrintTitles="1" createdVersion="6" indent="0" compact="0" compactData="0" gridDropZones="1" multipleFieldFilters="0">
  <location ref="O3:T26" firstHeaderRow="1" firstDataRow="2" firstDataCol="2"/>
  <pivotFields count="6">
    <pivotField axis="axisRow" compact="0" allDrilled="1" outline="0" showAll="0" dataSourceSort="1" defaultSubtotal="0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allDrilled="1" outline="0" showAll="0" dataSourceSort="1" defaultAttributeDrillState="1">
      <items count="23">
        <item x="0"/>
        <item x="1"/>
        <item n="Early Childhood Systems Coordination &amp; Single Portal of Entry Implementation " x="2"/>
        <item x="3"/>
        <item n="  Child Care Resources: Professional and Systems Development Project " x="4"/>
        <item n="Early Childhood Teacher Workforce Development Program " x="5"/>
        <item n="Staffed Family Child Care Network to Increase FCCH slots "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22">
    <i>
      <x/>
      <x/>
    </i>
    <i>
      <x v="1"/>
      <x v="1"/>
    </i>
    <i>
      <x v="2"/>
      <x v="2"/>
    </i>
    <i>
      <x v="3"/>
      <x v="3"/>
    </i>
    <i>
      <x v="4"/>
      <x v="4"/>
    </i>
    <i r="1">
      <x v="5"/>
    </i>
    <i r="1">
      <x v="6"/>
    </i>
    <i>
      <x v="5"/>
      <x v="7"/>
    </i>
    <i>
      <x v="6"/>
      <x v="8"/>
    </i>
    <i r="1">
      <x v="9"/>
    </i>
    <i r="1">
      <x v="10"/>
    </i>
    <i r="1">
      <x v="11"/>
    </i>
    <i>
      <x v="7"/>
      <x v="12"/>
    </i>
    <i>
      <x v="8"/>
      <x v="13"/>
    </i>
    <i>
      <x v="9"/>
      <x v="14"/>
    </i>
    <i>
      <x v="10"/>
      <x v="15"/>
    </i>
    <i>
      <x v="11"/>
      <x v="16"/>
    </i>
    <i>
      <x v="12"/>
      <x v="17"/>
    </i>
    <i>
      <x v="13"/>
      <x v="18"/>
    </i>
    <i>
      <x v="14"/>
      <x v="19"/>
    </i>
    <i>
      <x v="15"/>
      <x v="20"/>
    </i>
    <i>
      <x v="16"/>
      <x v="21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2" subtotal="count" baseField="0" baseItem="0"/>
    <dataField fld="3" subtotal="count" baseField="0" baseItem="0"/>
    <dataField fld="4" subtotal="count" baseField="0" baseItem="0"/>
    <dataField name="Sum of Scoring Count" fld="5" baseField="0" baseItem="0"/>
  </dataFields>
  <pivotHierarchies count="6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5"/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cores]"/>
      </x15:pivotTableUISettings>
    </ext>
  </extLst>
</pivotTableDefinition>
</file>

<file path=xl/tables/table1.xml><?xml version="1.0" encoding="utf-8"?>
<table xmlns="http://schemas.openxmlformats.org/spreadsheetml/2006/main" id="1" name="Table1" displayName="Table1" ref="A1:K331" totalsRowShown="0" headerRowDxfId="16" dataDxfId="15">
  <autoFilter ref="A1:K331">
    <filterColumn colId="0">
      <filters>
        <filter val="Asheville City Schools"/>
        <filter val="Eliada Homes, Inc"/>
      </filters>
    </filterColumn>
  </autoFilter>
  <tableColumns count="11">
    <tableColumn id="1" name="Organization Name" dataDxfId="14"/>
    <tableColumn id="2" name="Project Name" dataDxfId="13"/>
    <tableColumn id="3" name="Need" dataDxfId="12"/>
    <tableColumn id="4" name="Project Plan" dataDxfId="11"/>
    <tableColumn id="5" name="Proposed Results" dataDxfId="10"/>
    <tableColumn id="6" name="Capacity" dataDxfId="9"/>
    <tableColumn id="7" name="Equity" dataDxfId="8"/>
    <tableColumn id="8" name="Budget" dataDxfId="7"/>
    <tableColumn id="9" name="Overall" dataDxfId="6"/>
    <tableColumn id="10" name="Overall Total" dataDxfId="5"/>
    <tableColumn id="11" name="Overall Score Out of 100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:D25" totalsRowShown="0" headerRowDxfId="3">
  <autoFilter ref="A3:D25"/>
  <tableColumns count="4">
    <tableColumn id="1" name="Organization Name" dataDxfId="2"/>
    <tableColumn id="2" name="Project Name"/>
    <tableColumn id="3" name="FY2021 Grant" dataDxfId="1" dataCellStyle="Currency 2"/>
    <tableColumn id="4" name="FY2022 Reque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1"/>
  <sheetViews>
    <sheetView showGridLines="0" showRowColHeaders="0" tabSelected="1" zoomScaleNormal="100" workbookViewId="0">
      <pane xSplit="8" ySplit="5" topLeftCell="I13" activePane="bottomRight" state="frozen"/>
      <selection pane="topRight" activeCell="I1" sqref="I1"/>
      <selection pane="bottomLeft" activeCell="A6" sqref="A6"/>
      <selection pane="bottomRight" activeCell="U13" sqref="U13"/>
    </sheetView>
  </sheetViews>
  <sheetFormatPr defaultRowHeight="12.75" x14ac:dyDescent="0.2"/>
  <cols>
    <col min="1" max="1" width="1.7109375" customWidth="1"/>
    <col min="2" max="2" width="48.5703125" customWidth="1"/>
    <col min="3" max="3" width="32.140625" customWidth="1"/>
    <col min="4" max="4" width="11.5703125" customWidth="1"/>
    <col min="5" max="5" width="11.5703125" bestFit="1" customWidth="1"/>
    <col min="6" max="6" width="9.42578125" bestFit="1" customWidth="1"/>
    <col min="7" max="7" width="6.28515625" bestFit="1" customWidth="1"/>
    <col min="8" max="8" width="6.28515625" customWidth="1"/>
    <col min="9" max="9" width="1.7109375" customWidth="1"/>
    <col min="10" max="24" width="11.28515625" bestFit="1" customWidth="1"/>
    <col min="25" max="25" width="1.7109375" customWidth="1"/>
    <col min="26" max="27" width="11.5703125" bestFit="1" customWidth="1"/>
    <col min="28" max="28" width="9.28515625" bestFit="1" customWidth="1"/>
    <col min="29" max="30" width="10" bestFit="1" customWidth="1"/>
    <col min="31" max="31" width="11.5703125" bestFit="1" customWidth="1"/>
    <col min="32" max="32" width="9.5703125" bestFit="1" customWidth="1"/>
    <col min="33" max="33" width="9" bestFit="1" customWidth="1"/>
    <col min="34" max="35" width="0" hidden="1" customWidth="1"/>
    <col min="36" max="36" width="37" customWidth="1"/>
  </cols>
  <sheetData>
    <row r="1" spans="2:35" ht="6" customHeight="1" x14ac:dyDescent="0.2"/>
    <row r="2" spans="2:35" ht="15.75" x14ac:dyDescent="0.2">
      <c r="B2" s="200" t="s">
        <v>135</v>
      </c>
      <c r="D2" s="54" t="s">
        <v>86</v>
      </c>
      <c r="E2" s="40">
        <f>+Summary!N12</f>
        <v>3045440</v>
      </c>
      <c r="F2" s="40"/>
    </row>
    <row r="3" spans="2:35" ht="15.75" thickBot="1" x14ac:dyDescent="0.3">
      <c r="J3" s="203" t="s">
        <v>85</v>
      </c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5"/>
      <c r="Y3" s="52"/>
      <c r="Z3" s="21"/>
      <c r="AA3" s="21"/>
      <c r="AB3" s="21"/>
      <c r="AC3" s="21"/>
      <c r="AD3" s="21"/>
      <c r="AE3" s="21"/>
    </row>
    <row r="4" spans="2:35" ht="13.5" hidden="1" thickBot="1" x14ac:dyDescent="0.25">
      <c r="B4" s="50"/>
      <c r="C4" s="74"/>
      <c r="D4" s="51" t="s">
        <v>64</v>
      </c>
      <c r="E4" s="75"/>
      <c r="F4" s="50"/>
      <c r="G4" s="185"/>
      <c r="H4" s="50"/>
      <c r="I4" s="50"/>
      <c r="Y4" s="53"/>
    </row>
    <row r="5" spans="2:35" ht="45.75" thickBot="1" x14ac:dyDescent="0.25">
      <c r="B5" s="192" t="s">
        <v>1</v>
      </c>
      <c r="C5" s="175" t="s">
        <v>0</v>
      </c>
      <c r="D5" s="193" t="s">
        <v>66</v>
      </c>
      <c r="E5" s="193" t="s">
        <v>67</v>
      </c>
      <c r="F5" s="193" t="s">
        <v>133</v>
      </c>
      <c r="G5" s="193" t="s">
        <v>119</v>
      </c>
      <c r="H5" s="194" t="s">
        <v>110</v>
      </c>
      <c r="I5" s="191"/>
      <c r="J5" s="55">
        <v>1</v>
      </c>
      <c r="K5" s="55">
        <v>2</v>
      </c>
      <c r="L5" s="55">
        <v>3</v>
      </c>
      <c r="M5" s="55">
        <v>4</v>
      </c>
      <c r="N5" s="55">
        <v>5</v>
      </c>
      <c r="O5" s="55">
        <v>6</v>
      </c>
      <c r="P5" s="55">
        <v>7</v>
      </c>
      <c r="Q5" s="55">
        <v>8</v>
      </c>
      <c r="R5" s="55">
        <v>9</v>
      </c>
      <c r="S5" s="55">
        <v>10</v>
      </c>
      <c r="T5" s="55">
        <v>11</v>
      </c>
      <c r="U5" s="55">
        <v>12</v>
      </c>
      <c r="V5" s="55">
        <v>13</v>
      </c>
      <c r="W5" s="55">
        <v>14</v>
      </c>
      <c r="X5" s="55">
        <v>15</v>
      </c>
      <c r="Y5" s="56"/>
      <c r="Z5" s="61" t="s">
        <v>69</v>
      </c>
      <c r="AA5" s="189" t="s">
        <v>70</v>
      </c>
      <c r="AB5" s="61" t="s">
        <v>71</v>
      </c>
      <c r="AC5" s="61" t="s">
        <v>131</v>
      </c>
      <c r="AD5" s="63" t="s">
        <v>132</v>
      </c>
      <c r="AE5" s="62" t="s">
        <v>87</v>
      </c>
      <c r="AF5" s="63" t="s">
        <v>88</v>
      </c>
      <c r="AG5" s="63" t="s">
        <v>134</v>
      </c>
    </row>
    <row r="6" spans="2:35" ht="25.5" x14ac:dyDescent="0.2">
      <c r="B6" s="150" t="s">
        <v>47</v>
      </c>
      <c r="C6" s="151" t="s">
        <v>24</v>
      </c>
      <c r="D6" s="110">
        <v>0</v>
      </c>
      <c r="E6" s="110">
        <v>392109</v>
      </c>
      <c r="F6" s="112">
        <v>14</v>
      </c>
      <c r="G6" s="112">
        <v>448</v>
      </c>
      <c r="H6" s="186">
        <v>0.91428571428571426</v>
      </c>
      <c r="I6" s="190"/>
      <c r="J6" s="24">
        <f>+VLOOKUP($B6,consolidated!$B$4:$R$25,consolidated!D$2,FALSE)</f>
        <v>392109</v>
      </c>
      <c r="K6" s="24">
        <f>+VLOOKUP($B6,consolidated!$B$4:$R$25,consolidated!E$2,FALSE)</f>
        <v>392109</v>
      </c>
      <c r="L6" s="24">
        <f>+VLOOKUP($B6,consolidated!$B$4:$R$25,consolidated!F$2,FALSE)</f>
        <v>392109</v>
      </c>
      <c r="M6" s="24">
        <f>+VLOOKUP($B6,consolidated!$B$4:$R$25,consolidated!G$2,FALSE)</f>
        <v>392109</v>
      </c>
      <c r="N6" s="24">
        <f>+VLOOKUP($B6,consolidated!$B$4:$R$25,consolidated!H$2,FALSE)</f>
        <v>392109</v>
      </c>
      <c r="O6" s="24">
        <f>+VLOOKUP($B6,consolidated!$B$4:$R$25,consolidated!I$2,FALSE)</f>
        <v>392109</v>
      </c>
      <c r="P6" s="24">
        <f>+VLOOKUP($B6,consolidated!$B$4:$R$25,consolidated!J$2,FALSE)</f>
        <v>360000</v>
      </c>
      <c r="Q6" s="24">
        <f>+VLOOKUP($B6,consolidated!$B$4:$R$25,consolidated!K$2,FALSE)</f>
        <v>392109</v>
      </c>
      <c r="R6" s="24">
        <f>+VLOOKUP($B6,consolidated!$B$4:$R$25,consolidated!L$2,FALSE)</f>
        <v>392109</v>
      </c>
      <c r="S6" s="24">
        <f>+VLOOKUP($B6,consolidated!$B$4:$R$25,consolidated!M$2,FALSE)</f>
        <v>392109</v>
      </c>
      <c r="T6" s="24">
        <f>+VLOOKUP($B6,consolidated!$B$4:$R$25,consolidated!N$2,FALSE)</f>
        <v>333293</v>
      </c>
      <c r="U6" s="24">
        <f>+VLOOKUP($B6,consolidated!$B$4:$R$25,consolidated!O$2,FALSE)</f>
        <v>0</v>
      </c>
      <c r="V6" s="24">
        <f>+VLOOKUP($B6,consolidated!$B$4:$R$25,consolidated!P$2,FALSE)</f>
        <v>0</v>
      </c>
      <c r="W6" s="24">
        <f>+VLOOKUP($B6,consolidated!$B$4:$R$25,consolidated!Q$2,FALSE)</f>
        <v>0</v>
      </c>
      <c r="X6" s="24">
        <f>+VLOOKUP($B6,consolidated!$B$4:$R$25,consolidated!R$2,FALSE)</f>
        <v>0</v>
      </c>
      <c r="Z6" s="58">
        <f>MEDIAN(J6:T6)</f>
        <v>392109</v>
      </c>
      <c r="AA6" s="58">
        <f>AVERAGE(J6:T6)</f>
        <v>383843.09090909088</v>
      </c>
      <c r="AB6" s="59">
        <f>+COUNTIF(J6:X6,"&gt;1")</f>
        <v>11</v>
      </c>
      <c r="AC6" s="58">
        <f>MAX(J6:T6)</f>
        <v>392109</v>
      </c>
      <c r="AD6" s="58">
        <f>MIN(J6:T6)</f>
        <v>333293</v>
      </c>
      <c r="AE6" s="201"/>
      <c r="AF6" s="60">
        <f t="shared" ref="AF6:AF27" si="0">+AE6/E6</f>
        <v>0</v>
      </c>
      <c r="AG6" s="24" t="str">
        <f>IF(OR(D6=0,AE6=""),"",AE6-D6)</f>
        <v/>
      </c>
    </row>
    <row r="7" spans="2:35" ht="25.5" x14ac:dyDescent="0.2">
      <c r="B7" s="152" t="s">
        <v>45</v>
      </c>
      <c r="C7" s="153" t="s">
        <v>24</v>
      </c>
      <c r="D7" s="114">
        <v>234675</v>
      </c>
      <c r="E7" s="114">
        <v>529389</v>
      </c>
      <c r="F7" s="116">
        <v>14</v>
      </c>
      <c r="G7" s="116">
        <v>442</v>
      </c>
      <c r="H7" s="187">
        <v>0.90204081632653066</v>
      </c>
      <c r="I7" s="190"/>
      <c r="J7" s="24">
        <f>+VLOOKUP($B7,consolidated!$B$4:$R$25,consolidated!D$2,FALSE)</f>
        <v>529389</v>
      </c>
      <c r="K7" s="24">
        <f>+VLOOKUP($B7,consolidated!$B$4:$R$25,consolidated!E$2,FALSE)</f>
        <v>529389</v>
      </c>
      <c r="L7" s="24">
        <f>+VLOOKUP($B7,consolidated!$B$4:$R$25,consolidated!F$2,FALSE)</f>
        <v>529389</v>
      </c>
      <c r="M7" s="24">
        <f>+VLOOKUP($B7,consolidated!$B$4:$R$25,consolidated!G$2,FALSE)</f>
        <v>529389</v>
      </c>
      <c r="N7" s="24">
        <f>+VLOOKUP($B7,consolidated!$B$4:$R$25,consolidated!H$2,FALSE)</f>
        <v>529389</v>
      </c>
      <c r="O7" s="24">
        <f>+VLOOKUP($B7,consolidated!$B$4:$R$25,consolidated!I$2,FALSE)</f>
        <v>529389</v>
      </c>
      <c r="P7" s="24">
        <f>+VLOOKUP($B7,consolidated!$B$4:$R$25,consolidated!J$2,FALSE)</f>
        <v>492253</v>
      </c>
      <c r="Q7" s="24">
        <f>+VLOOKUP($B7,consolidated!$B$4:$R$25,consolidated!K$2,FALSE)</f>
        <v>529389</v>
      </c>
      <c r="R7" s="24">
        <f>+VLOOKUP($B7,consolidated!$B$4:$R$25,consolidated!L$2,FALSE)</f>
        <v>529389</v>
      </c>
      <c r="S7" s="24">
        <f>+VLOOKUP($B7,consolidated!$B$4:$R$25,consolidated!M$2,FALSE)</f>
        <v>529389</v>
      </c>
      <c r="T7" s="24">
        <f>+VLOOKUP($B7,consolidated!$B$4:$R$25,consolidated!N$2,FALSE)</f>
        <v>449981</v>
      </c>
      <c r="U7" s="24">
        <f>+VLOOKUP($B7,consolidated!$B$4:$R$25,consolidated!O$2,FALSE)</f>
        <v>0</v>
      </c>
      <c r="V7" s="24">
        <f>+VLOOKUP($B7,consolidated!$B$4:$R$25,consolidated!P$2,FALSE)</f>
        <v>0</v>
      </c>
      <c r="W7" s="24">
        <f>+VLOOKUP($B7,consolidated!$B$4:$R$25,consolidated!Q$2,FALSE)</f>
        <v>0</v>
      </c>
      <c r="X7" s="24">
        <f>+VLOOKUP($B7,consolidated!$B$4:$R$25,consolidated!R$2,FALSE)</f>
        <v>0</v>
      </c>
      <c r="Z7" s="58">
        <f t="shared" ref="Z7:Z27" si="1">MEDIAN(J7:T7)</f>
        <v>529389</v>
      </c>
      <c r="AA7" s="58">
        <f t="shared" ref="AA7:AA27" si="2">AVERAGE(J7:T7)</f>
        <v>518794.09090909088</v>
      </c>
      <c r="AB7" s="59">
        <f t="shared" ref="AB7:AB27" si="3">+COUNTIF(J7:X7,"&gt;1")</f>
        <v>11</v>
      </c>
      <c r="AC7" s="58">
        <f t="shared" ref="AC7:AC27" si="4">MAX(J7:T7)</f>
        <v>529389</v>
      </c>
      <c r="AD7" s="58">
        <f t="shared" ref="AD7:AD27" si="5">MIN(J7:T7)</f>
        <v>449981</v>
      </c>
      <c r="AE7" s="201"/>
      <c r="AF7" s="60">
        <f t="shared" si="0"/>
        <v>0</v>
      </c>
      <c r="AG7" s="24" t="str">
        <f t="shared" ref="AG7:AG27" si="6">IF(OR(D7=0,AE7=""),"",AE7-D7)</f>
        <v/>
      </c>
    </row>
    <row r="8" spans="2:35" ht="25.5" x14ac:dyDescent="0.2">
      <c r="B8" s="152" t="s">
        <v>62</v>
      </c>
      <c r="C8" s="153" t="s">
        <v>43</v>
      </c>
      <c r="D8" s="114">
        <v>138019</v>
      </c>
      <c r="E8" s="114">
        <v>179483</v>
      </c>
      <c r="F8" s="116">
        <v>14</v>
      </c>
      <c r="G8" s="116">
        <v>441</v>
      </c>
      <c r="H8" s="187">
        <v>0.9</v>
      </c>
      <c r="I8" s="190"/>
      <c r="J8" s="24">
        <f>+VLOOKUP($B8,consolidated!$B$4:$R$25,consolidated!D$2,FALSE)</f>
        <v>179483</v>
      </c>
      <c r="K8" s="24">
        <f>+VLOOKUP($B8,consolidated!$B$4:$R$25,consolidated!E$2,FALSE)</f>
        <v>179483</v>
      </c>
      <c r="L8" s="24">
        <f>+VLOOKUP($B8,consolidated!$B$4:$R$25,consolidated!F$2,FALSE)</f>
        <v>179483</v>
      </c>
      <c r="M8" s="24">
        <f>+VLOOKUP($B8,consolidated!$B$4:$R$25,consolidated!G$2,FALSE)</f>
        <v>179483</v>
      </c>
      <c r="N8" s="24">
        <f>+VLOOKUP($B8,consolidated!$B$4:$R$25,consolidated!H$2,FALSE)</f>
        <v>179483</v>
      </c>
      <c r="O8" s="24">
        <f>+VLOOKUP($B8,consolidated!$B$4:$R$25,consolidated!I$2,FALSE)</f>
        <v>179483</v>
      </c>
      <c r="P8" s="24">
        <f>+VLOOKUP($B8,consolidated!$B$4:$R$25,consolidated!J$2,FALSE)</f>
        <v>160000</v>
      </c>
      <c r="Q8" s="24">
        <f>+VLOOKUP($B8,consolidated!$B$4:$R$25,consolidated!K$2,FALSE)</f>
        <v>179483</v>
      </c>
      <c r="R8" s="24">
        <f>+VLOOKUP($B8,consolidated!$B$4:$R$25,consolidated!L$2,FALSE)</f>
        <v>179483</v>
      </c>
      <c r="S8" s="24">
        <f>+VLOOKUP($B8,consolidated!$B$4:$R$25,consolidated!M$2,FALSE)</f>
        <v>179483</v>
      </c>
      <c r="T8" s="24">
        <f>+VLOOKUP($B8,consolidated!$B$4:$R$25,consolidated!N$2,FALSE)</f>
        <v>152561</v>
      </c>
      <c r="U8" s="24">
        <f>+VLOOKUP($B8,consolidated!$B$4:$R$25,consolidated!O$2,FALSE)</f>
        <v>0</v>
      </c>
      <c r="V8" s="24">
        <f>+VLOOKUP($B8,consolidated!$B$4:$R$25,consolidated!P$2,FALSE)</f>
        <v>0</v>
      </c>
      <c r="W8" s="24">
        <f>+VLOOKUP($B8,consolidated!$B$4:$R$25,consolidated!Q$2,FALSE)</f>
        <v>0</v>
      </c>
      <c r="X8" s="24">
        <f>+VLOOKUP($B8,consolidated!$B$4:$R$25,consolidated!R$2,FALSE)</f>
        <v>0</v>
      </c>
      <c r="Z8" s="58">
        <f t="shared" si="1"/>
        <v>179483</v>
      </c>
      <c r="AA8" s="58">
        <f t="shared" si="2"/>
        <v>175264.36363636365</v>
      </c>
      <c r="AB8" s="59">
        <f t="shared" si="3"/>
        <v>11</v>
      </c>
      <c r="AC8" s="58">
        <f t="shared" si="4"/>
        <v>179483</v>
      </c>
      <c r="AD8" s="58">
        <f t="shared" si="5"/>
        <v>152561</v>
      </c>
      <c r="AE8" s="201"/>
      <c r="AF8" s="60">
        <f t="shared" si="0"/>
        <v>0</v>
      </c>
      <c r="AG8" s="24" t="str">
        <f t="shared" si="6"/>
        <v/>
      </c>
    </row>
    <row r="9" spans="2:35" x14ac:dyDescent="0.2">
      <c r="B9" s="152" t="s">
        <v>25</v>
      </c>
      <c r="C9" s="153" t="s">
        <v>24</v>
      </c>
      <c r="D9" s="114">
        <v>0</v>
      </c>
      <c r="E9" s="114">
        <v>4999.3399999999983</v>
      </c>
      <c r="F9" s="116">
        <v>13</v>
      </c>
      <c r="G9" s="116">
        <v>407</v>
      </c>
      <c r="H9" s="187">
        <v>0.89450549450549455</v>
      </c>
      <c r="I9" s="190"/>
      <c r="J9" s="24">
        <f>+VLOOKUP($B9,consolidated!$B$4:$R$25,consolidated!D$2,FALSE)</f>
        <v>4999</v>
      </c>
      <c r="K9" s="24">
        <f>+VLOOKUP($B9,consolidated!$B$4:$R$25,consolidated!E$2,FALSE)</f>
        <v>4999</v>
      </c>
      <c r="L9" s="24">
        <f>+VLOOKUP($B9,consolidated!$B$4:$R$25,consolidated!F$2,FALSE)</f>
        <v>4999</v>
      </c>
      <c r="M9" s="24">
        <f>+VLOOKUP($B9,consolidated!$B$4:$R$25,consolidated!G$2,FALSE)</f>
        <v>4999.3399999999983</v>
      </c>
      <c r="N9" s="24">
        <f>+VLOOKUP($B9,consolidated!$B$4:$R$25,consolidated!H$2,FALSE)</f>
        <v>4999</v>
      </c>
      <c r="O9" s="24">
        <f>+VLOOKUP($B9,consolidated!$B$4:$R$25,consolidated!I$2,FALSE)</f>
        <v>4999</v>
      </c>
      <c r="P9" s="24">
        <f>+VLOOKUP($B9,consolidated!$B$4:$R$25,consolidated!J$2,FALSE)</f>
        <v>4999.3399999999983</v>
      </c>
      <c r="Q9" s="24">
        <f>+VLOOKUP($B9,consolidated!$B$4:$R$25,consolidated!K$2,FALSE)</f>
        <v>4999</v>
      </c>
      <c r="R9" s="24">
        <f>+VLOOKUP($B9,consolidated!$B$4:$R$25,consolidated!L$2,FALSE)</f>
        <v>4999</v>
      </c>
      <c r="S9" s="24">
        <f>+VLOOKUP($B9,consolidated!$B$4:$R$25,consolidated!M$2,FALSE)</f>
        <v>4999</v>
      </c>
      <c r="T9" s="24">
        <f>+VLOOKUP($B9,consolidated!$B$4:$R$25,consolidated!N$2,FALSE)</f>
        <v>4249</v>
      </c>
      <c r="U9" s="24">
        <f>+VLOOKUP($B9,consolidated!$B$4:$R$25,consolidated!O$2,FALSE)</f>
        <v>0</v>
      </c>
      <c r="V9" s="24">
        <f>+VLOOKUP($B9,consolidated!$B$4:$R$25,consolidated!P$2,FALSE)</f>
        <v>0</v>
      </c>
      <c r="W9" s="24">
        <f>+VLOOKUP($B9,consolidated!$B$4:$R$25,consolidated!Q$2,FALSE)</f>
        <v>0</v>
      </c>
      <c r="X9" s="24">
        <f>+VLOOKUP($B9,consolidated!$B$4:$R$25,consolidated!R$2,FALSE)</f>
        <v>0</v>
      </c>
      <c r="Z9" s="58">
        <f t="shared" si="1"/>
        <v>4999</v>
      </c>
      <c r="AA9" s="58">
        <f t="shared" si="2"/>
        <v>4930.8799999999992</v>
      </c>
      <c r="AB9" s="59">
        <f t="shared" si="3"/>
        <v>11</v>
      </c>
      <c r="AC9" s="58">
        <f t="shared" si="4"/>
        <v>4999.3399999999983</v>
      </c>
      <c r="AD9" s="58">
        <f t="shared" si="5"/>
        <v>4249</v>
      </c>
      <c r="AE9" s="201"/>
      <c r="AF9" s="60">
        <f t="shared" si="0"/>
        <v>0</v>
      </c>
      <c r="AG9" s="24" t="str">
        <f t="shared" si="6"/>
        <v/>
      </c>
      <c r="AH9" s="64" t="s">
        <v>92</v>
      </c>
    </row>
    <row r="10" spans="2:35" ht="25.5" x14ac:dyDescent="0.2">
      <c r="B10" s="152" t="s">
        <v>63</v>
      </c>
      <c r="C10" s="153" t="s">
        <v>43</v>
      </c>
      <c r="D10" s="114">
        <v>15882</v>
      </c>
      <c r="E10" s="114">
        <v>28926</v>
      </c>
      <c r="F10" s="116">
        <v>13</v>
      </c>
      <c r="G10" s="116">
        <v>405</v>
      </c>
      <c r="H10" s="187">
        <v>0.89010989010989006</v>
      </c>
      <c r="I10" s="190"/>
      <c r="J10" s="24">
        <f>+VLOOKUP($B10,consolidated!$B$4:$R$25,consolidated!D$2,FALSE)</f>
        <v>28926</v>
      </c>
      <c r="K10" s="24">
        <f>+VLOOKUP($B10,consolidated!$B$4:$R$25,consolidated!E$2,FALSE)</f>
        <v>28926</v>
      </c>
      <c r="L10" s="24">
        <f>+VLOOKUP($B10,consolidated!$B$4:$R$25,consolidated!F$2,FALSE)</f>
        <v>28926</v>
      </c>
      <c r="M10" s="24">
        <f>+VLOOKUP($B10,consolidated!$B$4:$R$25,consolidated!G$2,FALSE)</f>
        <v>28926</v>
      </c>
      <c r="N10" s="24">
        <f>+VLOOKUP($B10,consolidated!$B$4:$R$25,consolidated!H$2,FALSE)</f>
        <v>28926</v>
      </c>
      <c r="O10" s="24">
        <f>+VLOOKUP($B10,consolidated!$B$4:$R$25,consolidated!I$2,FALSE)</f>
        <v>28926</v>
      </c>
      <c r="P10" s="24">
        <f>+VLOOKUP($B10,consolidated!$B$4:$R$25,consolidated!J$2,FALSE)</f>
        <v>28926</v>
      </c>
      <c r="Q10" s="24">
        <f>+VLOOKUP($B10,consolidated!$B$4:$R$25,consolidated!K$2,FALSE)</f>
        <v>28926</v>
      </c>
      <c r="R10" s="24">
        <f>+VLOOKUP($B10,consolidated!$B$4:$R$25,consolidated!L$2,FALSE)</f>
        <v>28926</v>
      </c>
      <c r="S10" s="24">
        <f>+VLOOKUP($B10,consolidated!$B$4:$R$25,consolidated!M$2,FALSE)</f>
        <v>28926</v>
      </c>
      <c r="T10" s="24">
        <f>+VLOOKUP($B10,consolidated!$B$4:$R$25,consolidated!N$2,FALSE)</f>
        <v>24587</v>
      </c>
      <c r="U10" s="24">
        <f>+VLOOKUP($B10,consolidated!$B$4:$R$25,consolidated!O$2,FALSE)</f>
        <v>0</v>
      </c>
      <c r="V10" s="24">
        <f>+VLOOKUP($B10,consolidated!$B$4:$R$25,consolidated!P$2,FALSE)</f>
        <v>0</v>
      </c>
      <c r="W10" s="24">
        <f>+VLOOKUP($B10,consolidated!$B$4:$R$25,consolidated!Q$2,FALSE)</f>
        <v>0</v>
      </c>
      <c r="X10" s="24">
        <f>+VLOOKUP($B10,consolidated!$B$4:$R$25,consolidated!R$2,FALSE)</f>
        <v>0</v>
      </c>
      <c r="Z10" s="58">
        <f t="shared" si="1"/>
        <v>28926</v>
      </c>
      <c r="AA10" s="58">
        <f t="shared" si="2"/>
        <v>28531.545454545456</v>
      </c>
      <c r="AB10" s="59">
        <f t="shared" si="3"/>
        <v>11</v>
      </c>
      <c r="AC10" s="58">
        <f t="shared" si="4"/>
        <v>28926</v>
      </c>
      <c r="AD10" s="58">
        <f t="shared" si="5"/>
        <v>24587</v>
      </c>
      <c r="AE10" s="201"/>
      <c r="AF10" s="60">
        <f t="shared" si="0"/>
        <v>0</v>
      </c>
      <c r="AG10" s="24" t="str">
        <f t="shared" si="6"/>
        <v/>
      </c>
      <c r="AH10" t="s">
        <v>89</v>
      </c>
    </row>
    <row r="11" spans="2:35" x14ac:dyDescent="0.2">
      <c r="B11" s="152" t="s">
        <v>19</v>
      </c>
      <c r="C11" s="153" t="s">
        <v>18</v>
      </c>
      <c r="D11" s="114">
        <v>36729</v>
      </c>
      <c r="E11" s="114">
        <v>36000</v>
      </c>
      <c r="F11" s="116">
        <v>14</v>
      </c>
      <c r="G11" s="116">
        <v>435</v>
      </c>
      <c r="H11" s="187">
        <v>0.88775510204081631</v>
      </c>
      <c r="I11" s="190"/>
      <c r="J11" s="24">
        <f>+VLOOKUP($B11,consolidated!$B$4:$R$25,consolidated!D$2,FALSE)</f>
        <v>36000</v>
      </c>
      <c r="K11" s="24">
        <f>+VLOOKUP($B11,consolidated!$B$4:$R$25,consolidated!E$2,FALSE)</f>
        <v>36000</v>
      </c>
      <c r="L11" s="24">
        <f>+VLOOKUP($B11,consolidated!$B$4:$R$25,consolidated!F$2,FALSE)</f>
        <v>36000</v>
      </c>
      <c r="M11" s="24">
        <f>+VLOOKUP($B11,consolidated!$B$4:$R$25,consolidated!G$2,FALSE)</f>
        <v>36000</v>
      </c>
      <c r="N11" s="24">
        <f>+VLOOKUP($B11,consolidated!$B$4:$R$25,consolidated!H$2,FALSE)</f>
        <v>36000</v>
      </c>
      <c r="O11" s="24">
        <f>+VLOOKUP($B11,consolidated!$B$4:$R$25,consolidated!I$2,FALSE)</f>
        <v>36000</v>
      </c>
      <c r="P11" s="24">
        <f>+VLOOKUP($B11,consolidated!$B$4:$R$25,consolidated!J$2,FALSE)</f>
        <v>36000</v>
      </c>
      <c r="Q11" s="24">
        <f>+VLOOKUP($B11,consolidated!$B$4:$R$25,consolidated!K$2,FALSE)</f>
        <v>36000</v>
      </c>
      <c r="R11" s="24">
        <f>+VLOOKUP($B11,consolidated!$B$4:$R$25,consolidated!L$2,FALSE)</f>
        <v>36000</v>
      </c>
      <c r="S11" s="24">
        <f>+VLOOKUP($B11,consolidated!$B$4:$R$25,consolidated!M$2,FALSE)</f>
        <v>36000</v>
      </c>
      <c r="T11" s="24">
        <f>+VLOOKUP($B11,consolidated!$B$4:$R$25,consolidated!N$2,FALSE)</f>
        <v>30600</v>
      </c>
      <c r="U11" s="24">
        <f>+VLOOKUP($B11,consolidated!$B$4:$R$25,consolidated!O$2,FALSE)</f>
        <v>0</v>
      </c>
      <c r="V11" s="24">
        <f>+VLOOKUP($B11,consolidated!$B$4:$R$25,consolidated!P$2,FALSE)</f>
        <v>0</v>
      </c>
      <c r="W11" s="24">
        <f>+VLOOKUP($B11,consolidated!$B$4:$R$25,consolidated!Q$2,FALSE)</f>
        <v>0</v>
      </c>
      <c r="X11" s="24">
        <f>+VLOOKUP($B11,consolidated!$B$4:$R$25,consolidated!R$2,FALSE)</f>
        <v>0</v>
      </c>
      <c r="Z11" s="58">
        <f t="shared" si="1"/>
        <v>36000</v>
      </c>
      <c r="AA11" s="58">
        <f t="shared" si="2"/>
        <v>35509.090909090912</v>
      </c>
      <c r="AB11" s="59">
        <f t="shared" si="3"/>
        <v>11</v>
      </c>
      <c r="AC11" s="58">
        <f t="shared" si="4"/>
        <v>36000</v>
      </c>
      <c r="AD11" s="58">
        <f t="shared" si="5"/>
        <v>30600</v>
      </c>
      <c r="AE11" s="201"/>
      <c r="AF11" s="60">
        <f t="shared" si="0"/>
        <v>0</v>
      </c>
      <c r="AG11" s="24" t="str">
        <f t="shared" si="6"/>
        <v/>
      </c>
      <c r="AH11" t="s">
        <v>90</v>
      </c>
      <c r="AI11">
        <v>10</v>
      </c>
    </row>
    <row r="12" spans="2:35" ht="25.5" x14ac:dyDescent="0.2">
      <c r="B12" s="152" t="s">
        <v>39</v>
      </c>
      <c r="C12" s="153" t="s">
        <v>38</v>
      </c>
      <c r="D12" s="114">
        <v>250000</v>
      </c>
      <c r="E12" s="114">
        <v>375000</v>
      </c>
      <c r="F12" s="116">
        <v>14</v>
      </c>
      <c r="G12" s="116">
        <v>435</v>
      </c>
      <c r="H12" s="187">
        <v>0.88775510204081631</v>
      </c>
      <c r="I12" s="190"/>
      <c r="J12" s="24">
        <f>+VLOOKUP($B12,consolidated!$B$4:$R$25,consolidated!D$2,FALSE)</f>
        <v>300000</v>
      </c>
      <c r="K12" s="24">
        <f>+VLOOKUP($B12,consolidated!$B$4:$R$25,consolidated!E$2,FALSE)</f>
        <v>375000</v>
      </c>
      <c r="L12" s="24">
        <f>+VLOOKUP($B12,consolidated!$B$4:$R$25,consolidated!F$2,FALSE)</f>
        <v>375000</v>
      </c>
      <c r="M12" s="24">
        <f>+VLOOKUP($B12,consolidated!$B$4:$R$25,consolidated!G$2,FALSE)</f>
        <v>375000</v>
      </c>
      <c r="N12" s="24">
        <f>+VLOOKUP($B12,consolidated!$B$4:$R$25,consolidated!H$2,FALSE)</f>
        <v>375000</v>
      </c>
      <c r="O12" s="24">
        <f>+VLOOKUP($B12,consolidated!$B$4:$R$25,consolidated!I$2,FALSE)</f>
        <v>375000</v>
      </c>
      <c r="P12" s="24">
        <f>+VLOOKUP($B12,consolidated!$B$4:$R$25,consolidated!J$2,FALSE)</f>
        <v>360000</v>
      </c>
      <c r="Q12" s="24">
        <f>+VLOOKUP($B12,consolidated!$B$4:$R$25,consolidated!K$2,FALSE)</f>
        <v>375000</v>
      </c>
      <c r="R12" s="24">
        <f>+VLOOKUP($B12,consolidated!$B$4:$R$25,consolidated!L$2,FALSE)</f>
        <v>375000</v>
      </c>
      <c r="S12" s="24">
        <f>+VLOOKUP($B12,consolidated!$B$4:$R$25,consolidated!M$2,FALSE)</f>
        <v>375000</v>
      </c>
      <c r="T12" s="24">
        <f>+VLOOKUP($B12,consolidated!$B$4:$R$25,consolidated!N$2,FALSE)</f>
        <v>315000</v>
      </c>
      <c r="U12" s="24">
        <f>+VLOOKUP($B12,consolidated!$B$4:$R$25,consolidated!O$2,FALSE)</f>
        <v>0</v>
      </c>
      <c r="V12" s="24">
        <f>+VLOOKUP($B12,consolidated!$B$4:$R$25,consolidated!P$2,FALSE)</f>
        <v>0</v>
      </c>
      <c r="W12" s="24">
        <f>+VLOOKUP($B12,consolidated!$B$4:$R$25,consolidated!Q$2,FALSE)</f>
        <v>0</v>
      </c>
      <c r="X12" s="24">
        <f>+VLOOKUP($B12,consolidated!$B$4:$R$25,consolidated!R$2,FALSE)</f>
        <v>0</v>
      </c>
      <c r="Z12" s="58">
        <f t="shared" si="1"/>
        <v>375000</v>
      </c>
      <c r="AA12" s="58">
        <f t="shared" si="2"/>
        <v>361363.63636363635</v>
      </c>
      <c r="AB12" s="59">
        <f t="shared" si="3"/>
        <v>11</v>
      </c>
      <c r="AC12" s="58">
        <f t="shared" si="4"/>
        <v>375000</v>
      </c>
      <c r="AD12" s="58">
        <f t="shared" si="5"/>
        <v>300000</v>
      </c>
      <c r="AE12" s="201"/>
      <c r="AF12" s="60">
        <f t="shared" si="0"/>
        <v>0</v>
      </c>
      <c r="AG12" s="24" t="str">
        <f t="shared" si="6"/>
        <v/>
      </c>
      <c r="AH12" t="s">
        <v>91</v>
      </c>
      <c r="AI12">
        <v>5</v>
      </c>
    </row>
    <row r="13" spans="2:35" ht="25.5" x14ac:dyDescent="0.2">
      <c r="B13" s="152" t="s">
        <v>60</v>
      </c>
      <c r="C13" s="153" t="s">
        <v>16</v>
      </c>
      <c r="D13" s="114">
        <v>98644</v>
      </c>
      <c r="E13" s="114">
        <v>143160</v>
      </c>
      <c r="F13" s="116">
        <v>14</v>
      </c>
      <c r="G13" s="116">
        <v>435</v>
      </c>
      <c r="H13" s="187">
        <v>0.88775510204081631</v>
      </c>
      <c r="I13" s="190"/>
      <c r="J13" s="24">
        <f>+VLOOKUP($B13,consolidated!$B$4:$R$25,consolidated!D$2,FALSE)</f>
        <v>143160</v>
      </c>
      <c r="K13" s="24">
        <f>+VLOOKUP($B13,consolidated!$B$4:$R$25,consolidated!E$2,FALSE)</f>
        <v>143160</v>
      </c>
      <c r="L13" s="24">
        <f>+VLOOKUP($B13,consolidated!$B$4:$R$25,consolidated!F$2,FALSE)</f>
        <v>143160</v>
      </c>
      <c r="M13" s="24">
        <f>+VLOOKUP($B13,consolidated!$B$4:$R$25,consolidated!G$2,FALSE)</f>
        <v>143160</v>
      </c>
      <c r="N13" s="24">
        <f>+VLOOKUP($B13,consolidated!$B$4:$R$25,consolidated!H$2,FALSE)</f>
        <v>143160</v>
      </c>
      <c r="O13" s="24">
        <f>+VLOOKUP($B13,consolidated!$B$4:$R$25,consolidated!I$2,FALSE)</f>
        <v>143160</v>
      </c>
      <c r="P13" s="24">
        <f>+VLOOKUP($B13,consolidated!$B$4:$R$25,consolidated!J$2,FALSE)</f>
        <v>115000</v>
      </c>
      <c r="Q13" s="24">
        <f>+VLOOKUP($B13,consolidated!$B$4:$R$25,consolidated!K$2,FALSE)</f>
        <v>143160</v>
      </c>
      <c r="R13" s="24">
        <f>+VLOOKUP($B13,consolidated!$B$4:$R$25,consolidated!L$2,FALSE)</f>
        <v>143160</v>
      </c>
      <c r="S13" s="24">
        <f>+VLOOKUP($B13,consolidated!$B$4:$R$25,consolidated!M$2,FALSE)</f>
        <v>143160</v>
      </c>
      <c r="T13" s="24">
        <f>+VLOOKUP($B13,consolidated!$B$4:$R$25,consolidated!N$2,FALSE)</f>
        <v>121686</v>
      </c>
      <c r="U13" s="24">
        <f>+VLOOKUP($B13,consolidated!$B$4:$R$25,consolidated!O$2,FALSE)</f>
        <v>0</v>
      </c>
      <c r="V13" s="24">
        <f>+VLOOKUP($B13,consolidated!$B$4:$R$25,consolidated!P$2,FALSE)</f>
        <v>0</v>
      </c>
      <c r="W13" s="24">
        <f>+VLOOKUP($B13,consolidated!$B$4:$R$25,consolidated!Q$2,FALSE)</f>
        <v>0</v>
      </c>
      <c r="X13" s="24">
        <f>+VLOOKUP($B13,consolidated!$B$4:$R$25,consolidated!R$2,FALSE)</f>
        <v>0</v>
      </c>
      <c r="Z13" s="58">
        <f t="shared" si="1"/>
        <v>143160</v>
      </c>
      <c r="AA13" s="58">
        <f t="shared" si="2"/>
        <v>138647.81818181818</v>
      </c>
      <c r="AB13" s="59">
        <f t="shared" si="3"/>
        <v>11</v>
      </c>
      <c r="AC13" s="58">
        <f t="shared" si="4"/>
        <v>143160</v>
      </c>
      <c r="AD13" s="58">
        <f t="shared" si="5"/>
        <v>115000</v>
      </c>
      <c r="AE13" s="201"/>
      <c r="AF13" s="60">
        <f t="shared" si="0"/>
        <v>0</v>
      </c>
      <c r="AG13" s="24" t="str">
        <f t="shared" si="6"/>
        <v/>
      </c>
    </row>
    <row r="14" spans="2:35" ht="25.5" x14ac:dyDescent="0.2">
      <c r="B14" s="152" t="s">
        <v>40</v>
      </c>
      <c r="C14" s="153" t="s">
        <v>24</v>
      </c>
      <c r="D14" s="114">
        <v>138262</v>
      </c>
      <c r="E14" s="114">
        <v>138262</v>
      </c>
      <c r="F14" s="116">
        <v>14</v>
      </c>
      <c r="G14" s="116">
        <v>434</v>
      </c>
      <c r="H14" s="187">
        <v>0.88571428571428568</v>
      </c>
      <c r="I14" s="190"/>
      <c r="J14" s="24">
        <f>+VLOOKUP($B14,consolidated!$B$4:$R$25,consolidated!D$2,FALSE)</f>
        <v>138262</v>
      </c>
      <c r="K14" s="24">
        <f>+VLOOKUP($B14,consolidated!$B$4:$R$25,consolidated!E$2,FALSE)</f>
        <v>138262</v>
      </c>
      <c r="L14" s="24">
        <f>+VLOOKUP($B14,consolidated!$B$4:$R$25,consolidated!F$2,FALSE)</f>
        <v>138262</v>
      </c>
      <c r="M14" s="24">
        <f>+VLOOKUP($B14,consolidated!$B$4:$R$25,consolidated!G$2,FALSE)</f>
        <v>138262</v>
      </c>
      <c r="N14" s="24">
        <f>+VLOOKUP($B14,consolidated!$B$4:$R$25,consolidated!H$2,FALSE)</f>
        <v>138262</v>
      </c>
      <c r="O14" s="24">
        <f>+VLOOKUP($B14,consolidated!$B$4:$R$25,consolidated!I$2,FALSE)</f>
        <v>138262</v>
      </c>
      <c r="P14" s="24">
        <f>+VLOOKUP($B14,consolidated!$B$4:$R$25,consolidated!J$2,FALSE)</f>
        <v>138262</v>
      </c>
      <c r="Q14" s="24">
        <f>+VLOOKUP($B14,consolidated!$B$4:$R$25,consolidated!K$2,FALSE)</f>
        <v>138262</v>
      </c>
      <c r="R14" s="24">
        <f>+VLOOKUP($B14,consolidated!$B$4:$R$25,consolidated!L$2,FALSE)</f>
        <v>138262</v>
      </c>
      <c r="S14" s="24">
        <f>+VLOOKUP($B14,consolidated!$B$4:$R$25,consolidated!M$2,FALSE)</f>
        <v>138262</v>
      </c>
      <c r="T14" s="24">
        <f>+VLOOKUP($B14,consolidated!$B$4:$R$25,consolidated!N$2,FALSE)</f>
        <v>110610</v>
      </c>
      <c r="U14" s="24">
        <f>+VLOOKUP($B14,consolidated!$B$4:$R$25,consolidated!O$2,FALSE)</f>
        <v>0</v>
      </c>
      <c r="V14" s="24">
        <f>+VLOOKUP($B14,consolidated!$B$4:$R$25,consolidated!P$2,FALSE)</f>
        <v>0</v>
      </c>
      <c r="W14" s="24">
        <f>+VLOOKUP($B14,consolidated!$B$4:$R$25,consolidated!Q$2,FALSE)</f>
        <v>0</v>
      </c>
      <c r="X14" s="24">
        <f>+VLOOKUP($B14,consolidated!$B$4:$R$25,consolidated!R$2,FALSE)</f>
        <v>0</v>
      </c>
      <c r="Z14" s="58">
        <f t="shared" si="1"/>
        <v>138262</v>
      </c>
      <c r="AA14" s="58">
        <f t="shared" si="2"/>
        <v>135748.18181818182</v>
      </c>
      <c r="AB14" s="59">
        <f t="shared" si="3"/>
        <v>11</v>
      </c>
      <c r="AC14" s="58">
        <f t="shared" si="4"/>
        <v>138262</v>
      </c>
      <c r="AD14" s="58">
        <f t="shared" si="5"/>
        <v>110610</v>
      </c>
      <c r="AE14" s="201"/>
      <c r="AF14" s="60">
        <f t="shared" si="0"/>
        <v>0</v>
      </c>
      <c r="AG14" s="24" t="str">
        <f t="shared" si="6"/>
        <v/>
      </c>
    </row>
    <row r="15" spans="2:35" ht="25.5" x14ac:dyDescent="0.2">
      <c r="B15" s="152" t="s">
        <v>61</v>
      </c>
      <c r="C15" s="153" t="s">
        <v>43</v>
      </c>
      <c r="D15" s="114">
        <v>153000</v>
      </c>
      <c r="E15" s="114">
        <v>153000</v>
      </c>
      <c r="F15" s="116">
        <v>13</v>
      </c>
      <c r="G15" s="116">
        <v>393</v>
      </c>
      <c r="H15" s="187">
        <v>0.86373626373626378</v>
      </c>
      <c r="I15" s="190"/>
      <c r="J15" s="24">
        <f>+VLOOKUP($B15,consolidated!$B$4:$R$25,consolidated!D$2,FALSE)</f>
        <v>125000</v>
      </c>
      <c r="K15" s="24">
        <f>+VLOOKUP($B15,consolidated!$B$4:$R$25,consolidated!E$2,FALSE)</f>
        <v>153000</v>
      </c>
      <c r="L15" s="24">
        <f>+VLOOKUP($B15,consolidated!$B$4:$R$25,consolidated!F$2,FALSE)</f>
        <v>153000</v>
      </c>
      <c r="M15" s="24">
        <f>+VLOOKUP($B15,consolidated!$B$4:$R$25,consolidated!G$2,FALSE)</f>
        <v>153000</v>
      </c>
      <c r="N15" s="24">
        <f>+VLOOKUP($B15,consolidated!$B$4:$R$25,consolidated!H$2,FALSE)</f>
        <v>153000</v>
      </c>
      <c r="O15" s="24">
        <f>+VLOOKUP($B15,consolidated!$B$4:$R$25,consolidated!I$2,FALSE)</f>
        <v>141804</v>
      </c>
      <c r="P15" s="24">
        <f>+VLOOKUP($B15,consolidated!$B$4:$R$25,consolidated!J$2,FALSE)</f>
        <v>125000</v>
      </c>
      <c r="Q15" s="24">
        <f>+VLOOKUP($B15,consolidated!$B$4:$R$25,consolidated!K$2,FALSE)</f>
        <v>153000</v>
      </c>
      <c r="R15" s="24">
        <f>+VLOOKUP($B15,consolidated!$B$4:$R$25,consolidated!L$2,FALSE)</f>
        <v>153000</v>
      </c>
      <c r="S15" s="24">
        <f>+VLOOKUP($B15,consolidated!$B$4:$R$25,consolidated!M$2,FALSE)</f>
        <v>153000</v>
      </c>
      <c r="T15" s="24">
        <f>+VLOOKUP($B15,consolidated!$B$4:$R$25,consolidated!N$2,FALSE)</f>
        <v>119135</v>
      </c>
      <c r="U15" s="24">
        <f>+VLOOKUP($B15,consolidated!$B$4:$R$25,consolidated!O$2,FALSE)</f>
        <v>0</v>
      </c>
      <c r="V15" s="24">
        <f>+VLOOKUP($B15,consolidated!$B$4:$R$25,consolidated!P$2,FALSE)</f>
        <v>0</v>
      </c>
      <c r="W15" s="24">
        <f>+VLOOKUP($B15,consolidated!$B$4:$R$25,consolidated!Q$2,FALSE)</f>
        <v>0</v>
      </c>
      <c r="X15" s="24">
        <f>+VLOOKUP($B15,consolidated!$B$4:$R$25,consolidated!R$2,FALSE)</f>
        <v>0</v>
      </c>
      <c r="Z15" s="58">
        <f t="shared" si="1"/>
        <v>153000</v>
      </c>
      <c r="AA15" s="58">
        <f t="shared" si="2"/>
        <v>143812.63636363635</v>
      </c>
      <c r="AB15" s="59">
        <f t="shared" si="3"/>
        <v>11</v>
      </c>
      <c r="AC15" s="58">
        <f t="shared" si="4"/>
        <v>153000</v>
      </c>
      <c r="AD15" s="58">
        <f t="shared" si="5"/>
        <v>119135</v>
      </c>
      <c r="AE15" s="201"/>
      <c r="AF15" s="60">
        <f t="shared" si="0"/>
        <v>0</v>
      </c>
      <c r="AG15" s="24" t="str">
        <f t="shared" si="6"/>
        <v/>
      </c>
    </row>
    <row r="16" spans="2:35" x14ac:dyDescent="0.2">
      <c r="B16" s="152" t="s">
        <v>33</v>
      </c>
      <c r="C16" s="153" t="s">
        <v>32</v>
      </c>
      <c r="D16" s="114">
        <v>97706</v>
      </c>
      <c r="E16" s="114">
        <v>204140.29</v>
      </c>
      <c r="F16" s="116">
        <v>14</v>
      </c>
      <c r="G16" s="116">
        <v>423</v>
      </c>
      <c r="H16" s="187">
        <v>0.86326530612244901</v>
      </c>
      <c r="I16" s="190"/>
      <c r="J16" s="24">
        <f>+VLOOKUP($B16,consolidated!$B$4:$R$25,consolidated!D$2,FALSE)</f>
        <v>125000</v>
      </c>
      <c r="K16" s="24">
        <f>+VLOOKUP($B16,consolidated!$B$4:$R$25,consolidated!E$2,FALSE)</f>
        <v>204140</v>
      </c>
      <c r="L16" s="24">
        <f>+VLOOKUP($B16,consolidated!$B$4:$R$25,consolidated!F$2,FALSE)</f>
        <v>53476</v>
      </c>
      <c r="M16" s="24">
        <f>+VLOOKUP($B16,consolidated!$B$4:$R$25,consolidated!G$2,FALSE)</f>
        <v>204140.29</v>
      </c>
      <c r="N16" s="24">
        <f>+VLOOKUP($B16,consolidated!$B$4:$R$25,consolidated!H$2,FALSE)</f>
        <v>204140</v>
      </c>
      <c r="O16" s="24">
        <f>+VLOOKUP($B16,consolidated!$B$4:$R$25,consolidated!I$2,FALSE)</f>
        <v>204140</v>
      </c>
      <c r="P16" s="24">
        <f>+VLOOKUP($B16,consolidated!$B$4:$R$25,consolidated!J$2,FALSE)</f>
        <v>175000</v>
      </c>
      <c r="Q16" s="24">
        <f>+VLOOKUP($B16,consolidated!$B$4:$R$25,consolidated!K$2,FALSE)</f>
        <v>204140</v>
      </c>
      <c r="R16" s="24">
        <f>+VLOOKUP($B16,consolidated!$B$4:$R$25,consolidated!L$2,FALSE)</f>
        <v>204140</v>
      </c>
      <c r="S16" s="24">
        <f>+VLOOKUP($B16,consolidated!$B$4:$R$25,consolidated!M$2,FALSE)</f>
        <v>204140</v>
      </c>
      <c r="T16" s="24">
        <f>+VLOOKUP($B16,consolidated!$B$4:$R$25,consolidated!N$2,FALSE)</f>
        <v>171478</v>
      </c>
      <c r="U16" s="24">
        <f>+VLOOKUP($B16,consolidated!$B$4:$R$25,consolidated!O$2,FALSE)</f>
        <v>0</v>
      </c>
      <c r="V16" s="24">
        <f>+VLOOKUP($B16,consolidated!$B$4:$R$25,consolidated!P$2,FALSE)</f>
        <v>0</v>
      </c>
      <c r="W16" s="24">
        <f>+VLOOKUP($B16,consolidated!$B$4:$R$25,consolidated!Q$2,FALSE)</f>
        <v>0</v>
      </c>
      <c r="X16" s="24">
        <f>+VLOOKUP($B16,consolidated!$B$4:$R$25,consolidated!R$2,FALSE)</f>
        <v>0</v>
      </c>
      <c r="Z16" s="58">
        <f t="shared" si="1"/>
        <v>204140</v>
      </c>
      <c r="AA16" s="58">
        <f t="shared" si="2"/>
        <v>177630.39</v>
      </c>
      <c r="AB16" s="59">
        <f t="shared" si="3"/>
        <v>11</v>
      </c>
      <c r="AC16" s="58">
        <f t="shared" si="4"/>
        <v>204140.29</v>
      </c>
      <c r="AD16" s="58">
        <f t="shared" si="5"/>
        <v>53476</v>
      </c>
      <c r="AE16" s="201"/>
      <c r="AF16" s="60">
        <f t="shared" si="0"/>
        <v>0</v>
      </c>
      <c r="AG16" s="24" t="str">
        <f t="shared" si="6"/>
        <v/>
      </c>
    </row>
    <row r="17" spans="2:36" ht="25.5" x14ac:dyDescent="0.2">
      <c r="B17" s="152" t="s">
        <v>42</v>
      </c>
      <c r="C17" s="153" t="s">
        <v>41</v>
      </c>
      <c r="D17" s="114">
        <v>450000</v>
      </c>
      <c r="E17" s="114">
        <v>1000000</v>
      </c>
      <c r="F17" s="116">
        <v>13</v>
      </c>
      <c r="G17" s="116">
        <v>386</v>
      </c>
      <c r="H17" s="187">
        <v>0.84835164835164834</v>
      </c>
      <c r="I17" s="190"/>
      <c r="J17" s="24">
        <f>+VLOOKUP($B17,consolidated!$B$4:$R$25,consolidated!D$2,FALSE)</f>
        <v>500000</v>
      </c>
      <c r="K17" s="24">
        <f>+VLOOKUP($B17,consolidated!$B$4:$R$25,consolidated!E$2,FALSE)</f>
        <v>830972</v>
      </c>
      <c r="L17" s="24">
        <f>+VLOOKUP($B17,consolidated!$B$4:$R$25,consolidated!F$2,FALSE)</f>
        <v>500000</v>
      </c>
      <c r="M17" s="24">
        <f>+VLOOKUP($B17,consolidated!$B$4:$R$25,consolidated!G$2,FALSE)</f>
        <v>0</v>
      </c>
      <c r="N17" s="24">
        <f>+VLOOKUP($B17,consolidated!$B$4:$R$25,consolidated!H$2,FALSE)</f>
        <v>500000</v>
      </c>
      <c r="O17" s="24">
        <f>+VLOOKUP($B17,consolidated!$B$4:$R$25,consolidated!I$2,FALSE)</f>
        <v>500000</v>
      </c>
      <c r="P17" s="24">
        <f>+VLOOKUP($B17,consolidated!$B$4:$R$25,consolidated!J$2,FALSE)</f>
        <v>350000</v>
      </c>
      <c r="Q17" s="24">
        <f>+VLOOKUP($B17,consolidated!$B$4:$R$25,consolidated!K$2,FALSE)</f>
        <v>200000</v>
      </c>
      <c r="R17" s="24">
        <f>+VLOOKUP($B17,consolidated!$B$4:$R$25,consolidated!L$2,FALSE)</f>
        <v>500000</v>
      </c>
      <c r="S17" s="24">
        <f>+VLOOKUP($B17,consolidated!$B$4:$R$25,consolidated!M$2,FALSE)</f>
        <v>500000</v>
      </c>
      <c r="T17" s="24">
        <f>+VLOOKUP($B17,consolidated!$B$4:$R$25,consolidated!N$2,FALSE)</f>
        <v>670000</v>
      </c>
      <c r="U17" s="24">
        <f>+VLOOKUP($B17,consolidated!$B$4:$R$25,consolidated!O$2,FALSE)</f>
        <v>0</v>
      </c>
      <c r="V17" s="24">
        <f>+VLOOKUP($B17,consolidated!$B$4:$R$25,consolidated!P$2,FALSE)</f>
        <v>0</v>
      </c>
      <c r="W17" s="24">
        <f>+VLOOKUP($B17,consolidated!$B$4:$R$25,consolidated!Q$2,FALSE)</f>
        <v>0</v>
      </c>
      <c r="X17" s="24">
        <f>+VLOOKUP($B17,consolidated!$B$4:$R$25,consolidated!R$2,FALSE)</f>
        <v>0</v>
      </c>
      <c r="Z17" s="58">
        <f t="shared" si="1"/>
        <v>500000</v>
      </c>
      <c r="AA17" s="58">
        <f t="shared" si="2"/>
        <v>459179.27272727271</v>
      </c>
      <c r="AB17" s="59">
        <f t="shared" si="3"/>
        <v>10</v>
      </c>
      <c r="AC17" s="58">
        <f t="shared" si="4"/>
        <v>830972</v>
      </c>
      <c r="AD17" s="58">
        <f t="shared" si="5"/>
        <v>0</v>
      </c>
      <c r="AE17" s="201"/>
      <c r="AF17" s="60">
        <f t="shared" si="0"/>
        <v>0</v>
      </c>
      <c r="AG17" s="24" t="str">
        <f t="shared" si="6"/>
        <v/>
      </c>
    </row>
    <row r="18" spans="2:36" ht="25.5" x14ac:dyDescent="0.2">
      <c r="B18" s="152" t="s">
        <v>50</v>
      </c>
      <c r="C18" s="153" t="s">
        <v>59</v>
      </c>
      <c r="D18" s="114">
        <v>0</v>
      </c>
      <c r="E18" s="114">
        <v>30000</v>
      </c>
      <c r="F18" s="116">
        <v>13</v>
      </c>
      <c r="G18" s="116">
        <v>385</v>
      </c>
      <c r="H18" s="187">
        <v>0.84615384615384615</v>
      </c>
      <c r="I18" s="190"/>
      <c r="J18" s="24">
        <f>+VLOOKUP($B18,consolidated!$B$4:$R$25,consolidated!D$2,FALSE)</f>
        <v>30000</v>
      </c>
      <c r="K18" s="24">
        <f>+VLOOKUP($B18,consolidated!$B$4:$R$25,consolidated!E$2,FALSE)</f>
        <v>30000</v>
      </c>
      <c r="L18" s="24">
        <f>+VLOOKUP($B18,consolidated!$B$4:$R$25,consolidated!F$2,FALSE)</f>
        <v>30000</v>
      </c>
      <c r="M18" s="24">
        <f>+VLOOKUP($B18,consolidated!$B$4:$R$25,consolidated!G$2,FALSE)</f>
        <v>30000</v>
      </c>
      <c r="N18" s="24">
        <f>+VLOOKUP($B18,consolidated!$B$4:$R$25,consolidated!H$2,FALSE)</f>
        <v>30000</v>
      </c>
      <c r="O18" s="24">
        <f>+VLOOKUP($B18,consolidated!$B$4:$R$25,consolidated!I$2,FALSE)</f>
        <v>15000</v>
      </c>
      <c r="P18" s="24">
        <f>+VLOOKUP($B18,consolidated!$B$4:$R$25,consolidated!J$2,FALSE)</f>
        <v>20000</v>
      </c>
      <c r="Q18" s="24">
        <f>+VLOOKUP($B18,consolidated!$B$4:$R$25,consolidated!K$2,FALSE)</f>
        <v>30000</v>
      </c>
      <c r="R18" s="24">
        <f>+VLOOKUP($B18,consolidated!$B$4:$R$25,consolidated!L$2,FALSE)</f>
        <v>30000</v>
      </c>
      <c r="S18" s="24">
        <f>+VLOOKUP($B18,consolidated!$B$4:$R$25,consolidated!M$2,FALSE)</f>
        <v>30000</v>
      </c>
      <c r="T18" s="24">
        <f>+VLOOKUP($B18,consolidated!$B$4:$R$25,consolidated!N$2,FALSE)</f>
        <v>24900</v>
      </c>
      <c r="U18" s="24">
        <f>+VLOOKUP($B18,consolidated!$B$4:$R$25,consolidated!O$2,FALSE)</f>
        <v>0</v>
      </c>
      <c r="V18" s="24">
        <f>+VLOOKUP($B18,consolidated!$B$4:$R$25,consolidated!P$2,FALSE)</f>
        <v>0</v>
      </c>
      <c r="W18" s="24">
        <f>+VLOOKUP($B18,consolidated!$B$4:$R$25,consolidated!Q$2,FALSE)</f>
        <v>0</v>
      </c>
      <c r="X18" s="24">
        <f>+VLOOKUP($B18,consolidated!$B$4:$R$25,consolidated!R$2,FALSE)</f>
        <v>0</v>
      </c>
      <c r="Z18" s="58">
        <f t="shared" si="1"/>
        <v>30000</v>
      </c>
      <c r="AA18" s="58">
        <f t="shared" si="2"/>
        <v>27263.636363636364</v>
      </c>
      <c r="AB18" s="59">
        <f t="shared" si="3"/>
        <v>11</v>
      </c>
      <c r="AC18" s="58">
        <f t="shared" si="4"/>
        <v>30000</v>
      </c>
      <c r="AD18" s="58">
        <f t="shared" si="5"/>
        <v>15000</v>
      </c>
      <c r="AE18" s="201"/>
      <c r="AF18" s="60">
        <f t="shared" si="0"/>
        <v>0</v>
      </c>
      <c r="AG18" s="24" t="str">
        <f t="shared" si="6"/>
        <v/>
      </c>
    </row>
    <row r="19" spans="2:36" ht="25.5" x14ac:dyDescent="0.2">
      <c r="B19" s="152" t="s">
        <v>37</v>
      </c>
      <c r="C19" s="153" t="s">
        <v>36</v>
      </c>
      <c r="D19" s="114">
        <v>0</v>
      </c>
      <c r="E19" s="114">
        <v>73140</v>
      </c>
      <c r="F19" s="116">
        <v>14</v>
      </c>
      <c r="G19" s="116">
        <v>406</v>
      </c>
      <c r="H19" s="187">
        <v>0.82857142857142863</v>
      </c>
      <c r="I19" s="190"/>
      <c r="J19" s="24">
        <f>+VLOOKUP($B19,consolidated!$B$4:$R$25,consolidated!D$2,FALSE)</f>
        <v>38000</v>
      </c>
      <c r="K19" s="24">
        <f>+VLOOKUP($B19,consolidated!$B$4:$R$25,consolidated!E$2,FALSE)</f>
        <v>0</v>
      </c>
      <c r="L19" s="24">
        <f>+VLOOKUP($B19,consolidated!$B$4:$R$25,consolidated!F$2,FALSE)</f>
        <v>0</v>
      </c>
      <c r="M19" s="24">
        <f>+VLOOKUP($B19,consolidated!$B$4:$R$25,consolidated!G$2,FALSE)</f>
        <v>73140</v>
      </c>
      <c r="N19" s="24">
        <f>+VLOOKUP($B19,consolidated!$B$4:$R$25,consolidated!H$2,FALSE)</f>
        <v>73140</v>
      </c>
      <c r="O19" s="24">
        <f>+VLOOKUP($B19,consolidated!$B$4:$R$25,consolidated!I$2,FALSE)</f>
        <v>73140</v>
      </c>
      <c r="P19" s="24">
        <f>+VLOOKUP($B19,consolidated!$B$4:$R$25,consolidated!J$2,FALSE)</f>
        <v>40000</v>
      </c>
      <c r="Q19" s="24">
        <f>+VLOOKUP($B19,consolidated!$B$4:$R$25,consolidated!K$2,FALSE)</f>
        <v>73140</v>
      </c>
      <c r="R19" s="24">
        <f>+VLOOKUP($B19,consolidated!$B$4:$R$25,consolidated!L$2,FALSE)</f>
        <v>73140</v>
      </c>
      <c r="S19" s="24">
        <f>+VLOOKUP($B19,consolidated!$B$4:$R$25,consolidated!M$2,FALSE)</f>
        <v>73140</v>
      </c>
      <c r="T19" s="24">
        <f>+VLOOKUP($B19,consolidated!$B$4:$R$25,consolidated!N$2,FALSE)</f>
        <v>60707</v>
      </c>
      <c r="U19" s="24">
        <f>+VLOOKUP($B19,consolidated!$B$4:$R$25,consolidated!O$2,FALSE)</f>
        <v>0</v>
      </c>
      <c r="V19" s="24">
        <f>+VLOOKUP($B19,consolidated!$B$4:$R$25,consolidated!P$2,FALSE)</f>
        <v>0</v>
      </c>
      <c r="W19" s="24">
        <f>+VLOOKUP($B19,consolidated!$B$4:$R$25,consolidated!Q$2,FALSE)</f>
        <v>0</v>
      </c>
      <c r="X19" s="24">
        <f>+VLOOKUP($B19,consolidated!$B$4:$R$25,consolidated!R$2,FALSE)</f>
        <v>0</v>
      </c>
      <c r="Z19" s="58">
        <f t="shared" si="1"/>
        <v>73140</v>
      </c>
      <c r="AA19" s="58">
        <f t="shared" si="2"/>
        <v>52504.272727272728</v>
      </c>
      <c r="AB19" s="59">
        <f t="shared" si="3"/>
        <v>9</v>
      </c>
      <c r="AC19" s="58">
        <f t="shared" si="4"/>
        <v>73140</v>
      </c>
      <c r="AD19" s="58">
        <f t="shared" si="5"/>
        <v>0</v>
      </c>
      <c r="AE19" s="201"/>
      <c r="AF19" s="60">
        <f t="shared" si="0"/>
        <v>0</v>
      </c>
      <c r="AG19" s="24" t="str">
        <f t="shared" si="6"/>
        <v/>
      </c>
    </row>
    <row r="20" spans="2:36" ht="25.5" x14ac:dyDescent="0.2">
      <c r="B20" s="152" t="s">
        <v>31</v>
      </c>
      <c r="C20" s="153" t="s">
        <v>56</v>
      </c>
      <c r="D20" s="114">
        <v>331945</v>
      </c>
      <c r="E20" s="114">
        <v>173000</v>
      </c>
      <c r="F20" s="116">
        <v>14</v>
      </c>
      <c r="G20" s="116">
        <v>405</v>
      </c>
      <c r="H20" s="187">
        <v>0.82653061224489799</v>
      </c>
      <c r="I20" s="190"/>
      <c r="J20" s="24">
        <f>+VLOOKUP($B20,consolidated!$B$4:$R$25,consolidated!D$2,FALSE)</f>
        <v>150000</v>
      </c>
      <c r="K20" s="24">
        <f>+VLOOKUP($B20,consolidated!$B$4:$R$25,consolidated!E$2,FALSE)</f>
        <v>0</v>
      </c>
      <c r="L20" s="24">
        <f>+VLOOKUP($B20,consolidated!$B$4:$R$25,consolidated!F$2,FALSE)</f>
        <v>0</v>
      </c>
      <c r="M20" s="24">
        <f>+VLOOKUP($B20,consolidated!$B$4:$R$25,consolidated!G$2,FALSE)</f>
        <v>173000</v>
      </c>
      <c r="N20" s="24">
        <f>+VLOOKUP($B20,consolidated!$B$4:$R$25,consolidated!H$2,FALSE)</f>
        <v>173000</v>
      </c>
      <c r="O20" s="24">
        <f>+VLOOKUP($B20,consolidated!$B$4:$R$25,consolidated!I$2,FALSE)</f>
        <v>173000</v>
      </c>
      <c r="P20" s="24">
        <f>+VLOOKUP($B20,consolidated!$B$4:$R$25,consolidated!J$2,FALSE)</f>
        <v>90000</v>
      </c>
      <c r="Q20" s="24">
        <f>+VLOOKUP($B20,consolidated!$B$4:$R$25,consolidated!K$2,FALSE)</f>
        <v>140000</v>
      </c>
      <c r="R20" s="24">
        <f>+VLOOKUP($B20,consolidated!$B$4:$R$25,consolidated!L$2,FALSE)</f>
        <v>173000</v>
      </c>
      <c r="S20" s="24">
        <f>+VLOOKUP($B20,consolidated!$B$4:$R$25,consolidated!M$2,FALSE)</f>
        <v>173000</v>
      </c>
      <c r="T20" s="24">
        <f>+VLOOKUP($B20,consolidated!$B$4:$R$25,consolidated!N$2,FALSE)</f>
        <v>143590</v>
      </c>
      <c r="U20" s="24">
        <f>+VLOOKUP($B20,consolidated!$B$4:$R$25,consolidated!O$2,FALSE)</f>
        <v>0</v>
      </c>
      <c r="V20" s="24">
        <f>+VLOOKUP($B20,consolidated!$B$4:$R$25,consolidated!P$2,FALSE)</f>
        <v>0</v>
      </c>
      <c r="W20" s="24">
        <f>+VLOOKUP($B20,consolidated!$B$4:$R$25,consolidated!Q$2,FALSE)</f>
        <v>0</v>
      </c>
      <c r="X20" s="24">
        <f>+VLOOKUP($B20,consolidated!$B$4:$R$25,consolidated!R$2,FALSE)</f>
        <v>0</v>
      </c>
      <c r="Z20" s="58">
        <f t="shared" si="1"/>
        <v>150000</v>
      </c>
      <c r="AA20" s="58">
        <f t="shared" si="2"/>
        <v>126235.45454545454</v>
      </c>
      <c r="AB20" s="59">
        <f t="shared" si="3"/>
        <v>9</v>
      </c>
      <c r="AC20" s="58">
        <f t="shared" si="4"/>
        <v>173000</v>
      </c>
      <c r="AD20" s="58">
        <f t="shared" si="5"/>
        <v>0</v>
      </c>
      <c r="AE20" s="201"/>
      <c r="AF20" s="60">
        <f t="shared" si="0"/>
        <v>0</v>
      </c>
      <c r="AG20" s="24" t="str">
        <f t="shared" si="6"/>
        <v/>
      </c>
    </row>
    <row r="21" spans="2:36" ht="38.25" x14ac:dyDescent="0.2">
      <c r="B21" s="152" t="s">
        <v>12</v>
      </c>
      <c r="C21" s="153" t="s">
        <v>11</v>
      </c>
      <c r="D21" s="114">
        <v>159000</v>
      </c>
      <c r="E21" s="114">
        <v>693288</v>
      </c>
      <c r="F21" s="116">
        <v>13</v>
      </c>
      <c r="G21" s="116">
        <v>366</v>
      </c>
      <c r="H21" s="187">
        <v>0.81333333333333335</v>
      </c>
      <c r="I21" s="190"/>
      <c r="J21" s="24">
        <f>+VLOOKUP($B21,consolidated!$B$4:$R$25,consolidated!D$2,FALSE)</f>
        <v>0</v>
      </c>
      <c r="K21" s="24">
        <f>+VLOOKUP($B21,consolidated!$B$4:$R$25,consolidated!E$2,FALSE)</f>
        <v>0</v>
      </c>
      <c r="L21" s="24">
        <f>+VLOOKUP($B21,consolidated!$B$4:$R$25,consolidated!F$2,FALSE)</f>
        <v>0</v>
      </c>
      <c r="M21" s="24">
        <f>+VLOOKUP($B21,consolidated!$B$4:$R$25,consolidated!G$2,FALSE)</f>
        <v>0</v>
      </c>
      <c r="N21" s="24">
        <f>+VLOOKUP($B21,consolidated!$B$4:$R$25,consolidated!H$2,FALSE)</f>
        <v>0</v>
      </c>
      <c r="O21" s="24">
        <f>+VLOOKUP($B21,consolidated!$B$4:$R$25,consolidated!I$2,FALSE)</f>
        <v>0</v>
      </c>
      <c r="P21" s="198">
        <f>+VLOOKUP($B21,consolidated!$B$4:$R$25,consolidated!J$2,FALSE)</f>
        <v>300000</v>
      </c>
      <c r="Q21" s="24">
        <f>+VLOOKUP($B21,consolidated!$B$4:$R$25,consolidated!K$2,FALSE)</f>
        <v>127832</v>
      </c>
      <c r="R21" s="24">
        <f>+VLOOKUP($B21,consolidated!$B$4:$R$25,consolidated!L$2,FALSE)</f>
        <v>0</v>
      </c>
      <c r="S21" s="24">
        <f>+VLOOKUP($B21,consolidated!$B$4:$R$25,consolidated!M$2,FALSE)</f>
        <v>0</v>
      </c>
      <c r="T21" s="24">
        <f>+VLOOKUP($B21,consolidated!$B$4:$R$25,consolidated!N$2,FALSE)</f>
        <v>0</v>
      </c>
      <c r="U21" s="24">
        <f>+VLOOKUP($B21,consolidated!$B$4:$R$25,consolidated!O$2,FALSE)</f>
        <v>0</v>
      </c>
      <c r="V21" s="24">
        <f>+VLOOKUP($B21,consolidated!$B$4:$R$25,consolidated!P$2,FALSE)</f>
        <v>0</v>
      </c>
      <c r="W21" s="24">
        <f>+VLOOKUP($B21,consolidated!$B$4:$R$25,consolidated!Q$2,FALSE)</f>
        <v>0</v>
      </c>
      <c r="X21" s="24">
        <f>+VLOOKUP($B21,consolidated!$B$4:$R$25,consolidated!R$2,FALSE)</f>
        <v>0</v>
      </c>
      <c r="Z21" s="58">
        <f t="shared" si="1"/>
        <v>0</v>
      </c>
      <c r="AA21" s="58">
        <f t="shared" si="2"/>
        <v>38893.818181818184</v>
      </c>
      <c r="AB21" s="59">
        <f t="shared" si="3"/>
        <v>2</v>
      </c>
      <c r="AC21" s="58">
        <f t="shared" si="4"/>
        <v>300000</v>
      </c>
      <c r="AD21" s="58">
        <f t="shared" si="5"/>
        <v>0</v>
      </c>
      <c r="AE21" s="201"/>
      <c r="AF21" s="60">
        <f t="shared" si="0"/>
        <v>0</v>
      </c>
      <c r="AG21" s="24" t="str">
        <f t="shared" si="6"/>
        <v/>
      </c>
      <c r="AJ21" s="199" t="s">
        <v>149</v>
      </c>
    </row>
    <row r="22" spans="2:36" x14ac:dyDescent="0.2">
      <c r="B22" s="152" t="s">
        <v>23</v>
      </c>
      <c r="C22" s="153" t="s">
        <v>22</v>
      </c>
      <c r="D22" s="114">
        <v>106384</v>
      </c>
      <c r="E22" s="114">
        <v>111028</v>
      </c>
      <c r="F22" s="116">
        <v>13</v>
      </c>
      <c r="G22" s="116">
        <v>362</v>
      </c>
      <c r="H22" s="187">
        <v>0.79560439560439555</v>
      </c>
      <c r="I22" s="190"/>
      <c r="J22" s="24">
        <f>+VLOOKUP($B22,consolidated!$B$4:$R$25,consolidated!D$2,FALSE)</f>
        <v>50000</v>
      </c>
      <c r="K22" s="24">
        <f>+VLOOKUP($B22,consolidated!$B$4:$R$25,consolidated!E$2,FALSE)</f>
        <v>0</v>
      </c>
      <c r="L22" s="24">
        <f>+VLOOKUP($B22,consolidated!$B$4:$R$25,consolidated!F$2,FALSE)</f>
        <v>111028</v>
      </c>
      <c r="M22" s="24">
        <f>+VLOOKUP($B22,consolidated!$B$4:$R$25,consolidated!G$2,FALSE)</f>
        <v>111028</v>
      </c>
      <c r="N22" s="24">
        <f>+VLOOKUP($B22,consolidated!$B$4:$R$25,consolidated!H$2,FALSE)</f>
        <v>84832</v>
      </c>
      <c r="O22" s="24">
        <f>+VLOOKUP($B22,consolidated!$B$4:$R$25,consolidated!I$2,FALSE)</f>
        <v>111028</v>
      </c>
      <c r="P22" s="24">
        <f>+VLOOKUP($B22,consolidated!$B$4:$R$25,consolidated!J$2,FALSE)</f>
        <v>75000</v>
      </c>
      <c r="Q22" s="24">
        <f>+VLOOKUP($B22,consolidated!$B$4:$R$25,consolidated!K$2,FALSE)</f>
        <v>50000</v>
      </c>
      <c r="R22" s="24">
        <f>+VLOOKUP($B22,consolidated!$B$4:$R$25,consolidated!L$2,FALSE)</f>
        <v>84832</v>
      </c>
      <c r="S22" s="24">
        <f>+VLOOKUP($B22,consolidated!$B$4:$R$25,consolidated!M$2,FALSE)</f>
        <v>84832</v>
      </c>
      <c r="T22" s="24">
        <f>+VLOOKUP($B22,consolidated!$B$4:$R$25,consolidated!N$2,FALSE)</f>
        <v>72168</v>
      </c>
      <c r="U22" s="24">
        <f>+VLOOKUP($B22,consolidated!$B$4:$R$25,consolidated!O$2,FALSE)</f>
        <v>0</v>
      </c>
      <c r="V22" s="24">
        <f>+VLOOKUP($B22,consolidated!$B$4:$R$25,consolidated!P$2,FALSE)</f>
        <v>0</v>
      </c>
      <c r="W22" s="24">
        <f>+VLOOKUP($B22,consolidated!$B$4:$R$25,consolidated!Q$2,FALSE)</f>
        <v>0</v>
      </c>
      <c r="X22" s="24">
        <f>+VLOOKUP($B22,consolidated!$B$4:$R$25,consolidated!R$2,FALSE)</f>
        <v>0</v>
      </c>
      <c r="Z22" s="58">
        <f t="shared" si="1"/>
        <v>84832</v>
      </c>
      <c r="AA22" s="58">
        <f t="shared" si="2"/>
        <v>75886.181818181823</v>
      </c>
      <c r="AB22" s="59">
        <f t="shared" si="3"/>
        <v>10</v>
      </c>
      <c r="AC22" s="58">
        <f t="shared" si="4"/>
        <v>111028</v>
      </c>
      <c r="AD22" s="58">
        <f t="shared" si="5"/>
        <v>0</v>
      </c>
      <c r="AE22" s="201"/>
      <c r="AF22" s="60">
        <f t="shared" si="0"/>
        <v>0</v>
      </c>
      <c r="AG22" s="24" t="str">
        <f t="shared" si="6"/>
        <v/>
      </c>
    </row>
    <row r="23" spans="2:36" x14ac:dyDescent="0.2">
      <c r="B23" s="152" t="s">
        <v>15</v>
      </c>
      <c r="C23" s="153" t="s">
        <v>14</v>
      </c>
      <c r="D23" s="114">
        <v>0</v>
      </c>
      <c r="E23" s="114">
        <v>163100</v>
      </c>
      <c r="F23" s="116">
        <v>14</v>
      </c>
      <c r="G23" s="116">
        <v>375</v>
      </c>
      <c r="H23" s="187">
        <v>0.76530612244897955</v>
      </c>
      <c r="I23" s="190"/>
      <c r="J23" s="24">
        <f>+VLOOKUP($B23,consolidated!$B$4:$R$25,consolidated!D$2,FALSE)</f>
        <v>118100</v>
      </c>
      <c r="K23" s="24">
        <f>+VLOOKUP($B23,consolidated!$B$4:$R$25,consolidated!E$2,FALSE)</f>
        <v>0</v>
      </c>
      <c r="L23" s="24">
        <f>+VLOOKUP($B23,consolidated!$B$4:$R$25,consolidated!F$2,FALSE)</f>
        <v>163100</v>
      </c>
      <c r="M23" s="24">
        <f>+VLOOKUP($B23,consolidated!$B$4:$R$25,consolidated!G$2,FALSE)</f>
        <v>163100</v>
      </c>
      <c r="N23" s="24">
        <f>+VLOOKUP($B23,consolidated!$B$4:$R$25,consolidated!H$2,FALSE)</f>
        <v>0</v>
      </c>
      <c r="O23" s="24">
        <f>+VLOOKUP($B23,consolidated!$B$4:$R$25,consolidated!I$2,FALSE)</f>
        <v>0</v>
      </c>
      <c r="P23" s="24">
        <f>+VLOOKUP($B23,consolidated!$B$4:$R$25,consolidated!J$2,FALSE)</f>
        <v>75000</v>
      </c>
      <c r="Q23" s="24">
        <f>+VLOOKUP($B23,consolidated!$B$4:$R$25,consolidated!K$2,FALSE)</f>
        <v>100000</v>
      </c>
      <c r="R23" s="24">
        <f>+VLOOKUP($B23,consolidated!$B$4:$R$25,consolidated!L$2,FALSE)</f>
        <v>0</v>
      </c>
      <c r="S23" s="24">
        <f>+VLOOKUP($B23,consolidated!$B$4:$R$25,consolidated!M$2,FALSE)</f>
        <v>0</v>
      </c>
      <c r="T23" s="24">
        <f>+VLOOKUP($B23,consolidated!$B$4:$R$25,consolidated!N$2,FALSE)</f>
        <v>106015</v>
      </c>
      <c r="U23" s="24">
        <f>+VLOOKUP($B23,consolidated!$B$4:$R$25,consolidated!O$2,FALSE)</f>
        <v>0</v>
      </c>
      <c r="V23" s="24">
        <f>+VLOOKUP($B23,consolidated!$B$4:$R$25,consolidated!P$2,FALSE)</f>
        <v>0</v>
      </c>
      <c r="W23" s="24">
        <f>+VLOOKUP($B23,consolidated!$B$4:$R$25,consolidated!Q$2,FALSE)</f>
        <v>0</v>
      </c>
      <c r="X23" s="24">
        <f>+VLOOKUP($B23,consolidated!$B$4:$R$25,consolidated!R$2,FALSE)</f>
        <v>0</v>
      </c>
      <c r="Z23" s="58">
        <f t="shared" si="1"/>
        <v>75000</v>
      </c>
      <c r="AA23" s="58">
        <f t="shared" si="2"/>
        <v>65937.727272727279</v>
      </c>
      <c r="AB23" s="59">
        <f t="shared" si="3"/>
        <v>6</v>
      </c>
      <c r="AC23" s="58">
        <f t="shared" si="4"/>
        <v>163100</v>
      </c>
      <c r="AD23" s="58">
        <f t="shared" si="5"/>
        <v>0</v>
      </c>
      <c r="AE23" s="201"/>
      <c r="AF23" s="60">
        <f t="shared" si="0"/>
        <v>0</v>
      </c>
      <c r="AG23" s="24" t="str">
        <f t="shared" si="6"/>
        <v/>
      </c>
    </row>
    <row r="24" spans="2:36" x14ac:dyDescent="0.2">
      <c r="B24" s="152" t="s">
        <v>35</v>
      </c>
      <c r="C24" s="153" t="s">
        <v>34</v>
      </c>
      <c r="D24" s="114">
        <v>183508</v>
      </c>
      <c r="E24" s="114">
        <v>207508</v>
      </c>
      <c r="F24" s="116">
        <v>14</v>
      </c>
      <c r="G24" s="116">
        <v>368</v>
      </c>
      <c r="H24" s="187">
        <v>0.75102040816326532</v>
      </c>
      <c r="I24" s="190"/>
      <c r="J24" s="24">
        <f>+VLOOKUP($B24,consolidated!$B$4:$R$25,consolidated!D$2,FALSE)</f>
        <v>70000</v>
      </c>
      <c r="K24" s="24">
        <f>+VLOOKUP($B24,consolidated!$B$4:$R$25,consolidated!E$2,FALSE)</f>
        <v>0</v>
      </c>
      <c r="L24" s="24">
        <f>+VLOOKUP($B24,consolidated!$B$4:$R$25,consolidated!F$2,FALSE)</f>
        <v>207508</v>
      </c>
      <c r="M24" s="24">
        <f>+VLOOKUP($B24,consolidated!$B$4:$R$25,consolidated!G$2,FALSE)</f>
        <v>207508</v>
      </c>
      <c r="N24" s="24">
        <f>+VLOOKUP($B24,consolidated!$B$4:$R$25,consolidated!H$2,FALSE)</f>
        <v>0</v>
      </c>
      <c r="O24" s="24">
        <f>+VLOOKUP($B24,consolidated!$B$4:$R$25,consolidated!I$2,FALSE)</f>
        <v>0</v>
      </c>
      <c r="P24" s="24">
        <f>+VLOOKUP($B24,consolidated!$B$4:$R$25,consolidated!J$2,FALSE)</f>
        <v>100000</v>
      </c>
      <c r="Q24" s="24">
        <f>+VLOOKUP($B24,consolidated!$B$4:$R$25,consolidated!K$2,FALSE)</f>
        <v>50000</v>
      </c>
      <c r="R24" s="24">
        <f>+VLOOKUP($B24,consolidated!$B$4:$R$25,consolidated!L$2,FALSE)</f>
        <v>0</v>
      </c>
      <c r="S24" s="24">
        <f>+VLOOKUP($B24,consolidated!$B$4:$R$25,consolidated!M$2,FALSE)</f>
        <v>0</v>
      </c>
      <c r="T24" s="24">
        <f>+VLOOKUP($B24,consolidated!$B$4:$R$25,consolidated!N$2,FALSE)</f>
        <v>134880</v>
      </c>
      <c r="U24" s="24">
        <f>+VLOOKUP($B24,consolidated!$B$4:$R$25,consolidated!O$2,FALSE)</f>
        <v>0</v>
      </c>
      <c r="V24" s="24">
        <f>+VLOOKUP($B24,consolidated!$B$4:$R$25,consolidated!P$2,FALSE)</f>
        <v>0</v>
      </c>
      <c r="W24" s="24">
        <f>+VLOOKUP($B24,consolidated!$B$4:$R$25,consolidated!Q$2,FALSE)</f>
        <v>0</v>
      </c>
      <c r="X24" s="24">
        <f>+VLOOKUP($B24,consolidated!$B$4:$R$25,consolidated!R$2,FALSE)</f>
        <v>0</v>
      </c>
      <c r="Z24" s="58">
        <f t="shared" si="1"/>
        <v>50000</v>
      </c>
      <c r="AA24" s="58">
        <f t="shared" si="2"/>
        <v>69990.545454545456</v>
      </c>
      <c r="AB24" s="59">
        <f t="shared" si="3"/>
        <v>6</v>
      </c>
      <c r="AC24" s="58">
        <f t="shared" si="4"/>
        <v>207508</v>
      </c>
      <c r="AD24" s="58">
        <f t="shared" si="5"/>
        <v>0</v>
      </c>
      <c r="AE24" s="201"/>
      <c r="AF24" s="60">
        <f t="shared" si="0"/>
        <v>0</v>
      </c>
      <c r="AG24" s="24" t="str">
        <f t="shared" si="6"/>
        <v/>
      </c>
    </row>
    <row r="25" spans="2:36" ht="25.5" x14ac:dyDescent="0.2">
      <c r="B25" s="152" t="s">
        <v>27</v>
      </c>
      <c r="C25" s="153" t="s">
        <v>26</v>
      </c>
      <c r="D25" s="114">
        <v>0</v>
      </c>
      <c r="E25" s="114">
        <v>111848.19999999997</v>
      </c>
      <c r="F25" s="116">
        <v>14</v>
      </c>
      <c r="G25" s="116">
        <v>367</v>
      </c>
      <c r="H25" s="187">
        <v>0.74897959183673468</v>
      </c>
      <c r="I25" s="190"/>
      <c r="J25" s="24">
        <f>+VLOOKUP($B25,consolidated!$B$4:$R$25,consolidated!D$2,FALSE)</f>
        <v>31968</v>
      </c>
      <c r="K25" s="24">
        <f>+VLOOKUP($B25,consolidated!$B$4:$R$25,consolidated!E$2,FALSE)</f>
        <v>0</v>
      </c>
      <c r="L25" s="24">
        <f>+VLOOKUP($B25,consolidated!$B$4:$R$25,consolidated!F$2,FALSE)</f>
        <v>0</v>
      </c>
      <c r="M25" s="24">
        <f>+VLOOKUP($B25,consolidated!$B$4:$R$25,consolidated!G$2,FALSE)</f>
        <v>0</v>
      </c>
      <c r="N25" s="24">
        <f>+VLOOKUP($B25,consolidated!$B$4:$R$25,consolidated!H$2,FALSE)</f>
        <v>0</v>
      </c>
      <c r="O25" s="24">
        <f>+VLOOKUP($B25,consolidated!$B$4:$R$25,consolidated!I$2,FALSE)</f>
        <v>0</v>
      </c>
      <c r="P25" s="24">
        <f>+VLOOKUP($B25,consolidated!$B$4:$R$25,consolidated!J$2,FALSE)</f>
        <v>0</v>
      </c>
      <c r="Q25" s="24">
        <f>+VLOOKUP($B25,consolidated!$B$4:$R$25,consolidated!K$2,FALSE)</f>
        <v>50000</v>
      </c>
      <c r="R25" s="24">
        <f>+VLOOKUP($B25,consolidated!$B$4:$R$25,consolidated!L$2,FALSE)</f>
        <v>0</v>
      </c>
      <c r="S25" s="24">
        <f>+VLOOKUP($B25,consolidated!$B$4:$R$25,consolidated!M$2,FALSE)</f>
        <v>0</v>
      </c>
      <c r="T25" s="24">
        <f>+VLOOKUP($B25,consolidated!$B$4:$R$25,consolidated!N$2,FALSE)</f>
        <v>0</v>
      </c>
      <c r="U25" s="24">
        <f>+VLOOKUP($B25,consolidated!$B$4:$R$25,consolidated!O$2,FALSE)</f>
        <v>0</v>
      </c>
      <c r="V25" s="24">
        <f>+VLOOKUP($B25,consolidated!$B$4:$R$25,consolidated!P$2,FALSE)</f>
        <v>0</v>
      </c>
      <c r="W25" s="24">
        <f>+VLOOKUP($B25,consolidated!$B$4:$R$25,consolidated!Q$2,FALSE)</f>
        <v>0</v>
      </c>
      <c r="X25" s="24">
        <f>+VLOOKUP($B25,consolidated!$B$4:$R$25,consolidated!R$2,FALSE)</f>
        <v>0</v>
      </c>
      <c r="Z25" s="58">
        <f t="shared" si="1"/>
        <v>0</v>
      </c>
      <c r="AA25" s="58">
        <f t="shared" si="2"/>
        <v>7451.636363636364</v>
      </c>
      <c r="AB25" s="59">
        <f t="shared" si="3"/>
        <v>2</v>
      </c>
      <c r="AC25" s="58">
        <f t="shared" si="4"/>
        <v>50000</v>
      </c>
      <c r="AD25" s="58">
        <f t="shared" si="5"/>
        <v>0</v>
      </c>
      <c r="AE25" s="202"/>
      <c r="AF25" s="60">
        <f t="shared" si="0"/>
        <v>0</v>
      </c>
      <c r="AG25" s="24" t="str">
        <f t="shared" si="6"/>
        <v/>
      </c>
    </row>
    <row r="26" spans="2:36" x14ac:dyDescent="0.2">
      <c r="B26" s="152" t="s">
        <v>21</v>
      </c>
      <c r="C26" s="153" t="s">
        <v>20</v>
      </c>
      <c r="D26" s="114">
        <v>0</v>
      </c>
      <c r="E26" s="114">
        <v>99100</v>
      </c>
      <c r="F26" s="116">
        <v>14</v>
      </c>
      <c r="G26" s="116">
        <v>357</v>
      </c>
      <c r="H26" s="187">
        <v>0.72857142857142854</v>
      </c>
      <c r="I26" s="190"/>
      <c r="J26" s="24">
        <f>+VLOOKUP($B26,consolidated!$B$4:$R$25,consolidated!D$2,FALSE)</f>
        <v>45000</v>
      </c>
      <c r="K26" s="24">
        <f>+VLOOKUP($B26,consolidated!$B$4:$R$25,consolidated!E$2,FALSE)</f>
        <v>0</v>
      </c>
      <c r="L26" s="24">
        <f>+VLOOKUP($B26,consolidated!$B$4:$R$25,consolidated!F$2,FALSE)</f>
        <v>0</v>
      </c>
      <c r="M26" s="24">
        <f>+VLOOKUP($B26,consolidated!$B$4:$R$25,consolidated!G$2,FALSE)</f>
        <v>99100</v>
      </c>
      <c r="N26" s="24">
        <f>+VLOOKUP($B26,consolidated!$B$4:$R$25,consolidated!H$2,FALSE)</f>
        <v>0</v>
      </c>
      <c r="O26" s="24">
        <f>+VLOOKUP($B26,consolidated!$B$4:$R$25,consolidated!I$2,FALSE)</f>
        <v>0</v>
      </c>
      <c r="P26" s="24">
        <f>+VLOOKUP($B26,consolidated!$B$4:$R$25,consolidated!J$2,FALSE)</f>
        <v>0</v>
      </c>
      <c r="Q26" s="24">
        <f>+VLOOKUP($B26,consolidated!$B$4:$R$25,consolidated!K$2,FALSE)</f>
        <v>40000</v>
      </c>
      <c r="R26" s="24">
        <f>+VLOOKUP($B26,consolidated!$B$4:$R$25,consolidated!L$2,FALSE)</f>
        <v>0</v>
      </c>
      <c r="S26" s="24">
        <f>+VLOOKUP($B26,consolidated!$B$4:$R$25,consolidated!M$2,FALSE)</f>
        <v>0</v>
      </c>
      <c r="T26" s="24">
        <f>+VLOOKUP($B26,consolidated!$B$4:$R$25,consolidated!N$2,FALSE)</f>
        <v>0</v>
      </c>
      <c r="U26" s="24">
        <f>+VLOOKUP($B26,consolidated!$B$4:$R$25,consolidated!O$2,FALSE)</f>
        <v>0</v>
      </c>
      <c r="V26" s="24">
        <f>+VLOOKUP($B26,consolidated!$B$4:$R$25,consolidated!P$2,FALSE)</f>
        <v>0</v>
      </c>
      <c r="W26" s="24">
        <f>+VLOOKUP($B26,consolidated!$B$4:$R$25,consolidated!Q$2,FALSE)</f>
        <v>0</v>
      </c>
      <c r="X26" s="24">
        <f>+VLOOKUP($B26,consolidated!$B$4:$R$25,consolidated!R$2,FALSE)</f>
        <v>0</v>
      </c>
      <c r="Z26" s="58">
        <f t="shared" si="1"/>
        <v>0</v>
      </c>
      <c r="AA26" s="58">
        <f t="shared" si="2"/>
        <v>16736.363636363636</v>
      </c>
      <c r="AB26" s="59">
        <f t="shared" si="3"/>
        <v>3</v>
      </c>
      <c r="AC26" s="58">
        <f t="shared" si="4"/>
        <v>99100</v>
      </c>
      <c r="AD26" s="58">
        <f t="shared" si="5"/>
        <v>0</v>
      </c>
      <c r="AE26" s="202"/>
      <c r="AF26" s="60">
        <f t="shared" si="0"/>
        <v>0</v>
      </c>
      <c r="AG26" s="24" t="str">
        <f t="shared" si="6"/>
        <v/>
      </c>
    </row>
    <row r="27" spans="2:36" ht="26.25" thickBot="1" x14ac:dyDescent="0.25">
      <c r="B27" s="154" t="s">
        <v>29</v>
      </c>
      <c r="C27" s="155" t="s">
        <v>28</v>
      </c>
      <c r="D27" s="118">
        <v>0</v>
      </c>
      <c r="E27" s="118">
        <v>75000</v>
      </c>
      <c r="F27" s="120">
        <v>14</v>
      </c>
      <c r="G27" s="120">
        <v>309</v>
      </c>
      <c r="H27" s="188">
        <v>0.6306122448979592</v>
      </c>
      <c r="I27" s="190"/>
      <c r="J27" s="24">
        <f>+VLOOKUP($B27,consolidated!$B$4:$R$25,consolidated!D$2,FALSE)</f>
        <v>10044</v>
      </c>
      <c r="K27" s="24">
        <f>+VLOOKUP($B27,consolidated!$B$4:$R$25,consolidated!E$2,FALSE)</f>
        <v>0</v>
      </c>
      <c r="L27" s="24">
        <f>+VLOOKUP($B27,consolidated!$B$4:$R$25,consolidated!F$2,FALSE)</f>
        <v>0</v>
      </c>
      <c r="M27" s="24">
        <f>+VLOOKUP($B27,consolidated!$B$4:$R$25,consolidated!G$2,FALSE)</f>
        <v>0</v>
      </c>
      <c r="N27" s="24">
        <f>+VLOOKUP($B27,consolidated!$B$4:$R$25,consolidated!H$2,FALSE)</f>
        <v>0</v>
      </c>
      <c r="O27" s="24">
        <f>+VLOOKUP($B27,consolidated!$B$4:$R$25,consolidated!I$2,FALSE)</f>
        <v>0</v>
      </c>
      <c r="P27" s="24">
        <f>+VLOOKUP($B27,consolidated!$B$4:$R$25,consolidated!J$2,FALSE)</f>
        <v>0</v>
      </c>
      <c r="Q27" s="24">
        <f>+VLOOKUP($B27,consolidated!$B$4:$R$25,consolidated!K$2,FALSE)</f>
        <v>0</v>
      </c>
      <c r="R27" s="24">
        <f>+VLOOKUP($B27,consolidated!$B$4:$R$25,consolidated!L$2,FALSE)</f>
        <v>0</v>
      </c>
      <c r="S27" s="24">
        <f>+VLOOKUP($B27,consolidated!$B$4:$R$25,consolidated!M$2,FALSE)</f>
        <v>0</v>
      </c>
      <c r="T27" s="24">
        <f>+VLOOKUP($B27,consolidated!$B$4:$R$25,consolidated!N$2,FALSE)</f>
        <v>0</v>
      </c>
      <c r="U27" s="24">
        <f>+VLOOKUP($B27,consolidated!$B$4:$R$25,consolidated!O$2,FALSE)</f>
        <v>0</v>
      </c>
      <c r="V27" s="24">
        <f>+VLOOKUP($B27,consolidated!$B$4:$R$25,consolidated!P$2,FALSE)</f>
        <v>0</v>
      </c>
      <c r="W27" s="24">
        <f>+VLOOKUP($B27,consolidated!$B$4:$R$25,consolidated!Q$2,FALSE)</f>
        <v>0</v>
      </c>
      <c r="X27" s="24">
        <f>+VLOOKUP($B27,consolidated!$B$4:$R$25,consolidated!R$2,FALSE)</f>
        <v>0</v>
      </c>
      <c r="Z27" s="58">
        <f t="shared" si="1"/>
        <v>0</v>
      </c>
      <c r="AA27" s="58">
        <f t="shared" si="2"/>
        <v>913.09090909090912</v>
      </c>
      <c r="AB27" s="59">
        <f t="shared" si="3"/>
        <v>1</v>
      </c>
      <c r="AC27" s="58">
        <f t="shared" si="4"/>
        <v>10044</v>
      </c>
      <c r="AD27" s="58">
        <f t="shared" si="5"/>
        <v>0</v>
      </c>
      <c r="AE27" s="202"/>
      <c r="AF27" s="60">
        <f t="shared" si="0"/>
        <v>0</v>
      </c>
      <c r="AG27" s="24" t="str">
        <f t="shared" si="6"/>
        <v/>
      </c>
    </row>
    <row r="28" spans="2:36" ht="6" customHeight="1" x14ac:dyDescent="0.2"/>
    <row r="29" spans="2:36" x14ac:dyDescent="0.2">
      <c r="C29" s="65" t="s">
        <v>68</v>
      </c>
      <c r="D29" s="58">
        <f>+SUM(D6:D27)</f>
        <v>2393754</v>
      </c>
      <c r="E29" s="58">
        <f>+SUM(E6:E27)</f>
        <v>4921480.83</v>
      </c>
      <c r="F29" s="95"/>
      <c r="J29" s="57">
        <f t="shared" ref="J29:AA29" si="7">+SUM(J6:J27)</f>
        <v>3045440</v>
      </c>
      <c r="K29" s="57">
        <f t="shared" si="7"/>
        <v>3045440</v>
      </c>
      <c r="L29" s="57">
        <f t="shared" si="7"/>
        <v>3045440</v>
      </c>
      <c r="M29" s="57">
        <f t="shared" si="7"/>
        <v>3041344.63</v>
      </c>
      <c r="N29" s="57">
        <f t="shared" si="7"/>
        <v>3045440</v>
      </c>
      <c r="O29" s="57">
        <f t="shared" si="7"/>
        <v>3045440</v>
      </c>
      <c r="P29" s="57">
        <f t="shared" si="7"/>
        <v>3045440.34</v>
      </c>
      <c r="Q29" s="57">
        <f t="shared" si="7"/>
        <v>3045440</v>
      </c>
      <c r="R29" s="57">
        <f t="shared" si="7"/>
        <v>3045440</v>
      </c>
      <c r="S29" s="57">
        <f t="shared" si="7"/>
        <v>3045440</v>
      </c>
      <c r="T29" s="57">
        <f t="shared" si="7"/>
        <v>3045440</v>
      </c>
      <c r="U29" s="57">
        <f t="shared" si="7"/>
        <v>0</v>
      </c>
      <c r="V29" s="57">
        <f t="shared" si="7"/>
        <v>0</v>
      </c>
      <c r="W29" s="57">
        <f t="shared" si="7"/>
        <v>0</v>
      </c>
      <c r="X29" s="57">
        <f t="shared" si="7"/>
        <v>0</v>
      </c>
      <c r="Z29" s="57">
        <f t="shared" si="7"/>
        <v>3147440</v>
      </c>
      <c r="AA29" s="57">
        <f t="shared" si="7"/>
        <v>3045067.7245454541</v>
      </c>
      <c r="AE29" s="57">
        <f t="shared" ref="AE29" si="8">+SUM(AE6:AE27)</f>
        <v>0</v>
      </c>
    </row>
    <row r="31" spans="2:36" x14ac:dyDescent="0.2">
      <c r="J31" s="58">
        <f>+$E$2-J29</f>
        <v>0</v>
      </c>
      <c r="K31" s="58">
        <f t="shared" ref="K31:X31" si="9">+$E$2-K29</f>
        <v>0</v>
      </c>
      <c r="L31" s="58">
        <f t="shared" si="9"/>
        <v>0</v>
      </c>
      <c r="M31" s="58">
        <f t="shared" si="9"/>
        <v>4095.3700000001118</v>
      </c>
      <c r="N31" s="58">
        <f t="shared" si="9"/>
        <v>0</v>
      </c>
      <c r="O31" s="58">
        <f t="shared" si="9"/>
        <v>0</v>
      </c>
      <c r="P31" s="58">
        <f t="shared" si="9"/>
        <v>-0.33999999985098839</v>
      </c>
      <c r="Q31" s="58">
        <f t="shared" si="9"/>
        <v>0</v>
      </c>
      <c r="R31" s="58">
        <f t="shared" si="9"/>
        <v>0</v>
      </c>
      <c r="S31" s="58">
        <f t="shared" si="9"/>
        <v>0</v>
      </c>
      <c r="T31" s="58">
        <f t="shared" si="9"/>
        <v>0</v>
      </c>
      <c r="U31" s="58">
        <f t="shared" si="9"/>
        <v>3045440</v>
      </c>
      <c r="V31" s="58">
        <f t="shared" si="9"/>
        <v>3045440</v>
      </c>
      <c r="W31" s="58">
        <f t="shared" si="9"/>
        <v>3045440</v>
      </c>
      <c r="X31" s="58">
        <f t="shared" si="9"/>
        <v>3045440</v>
      </c>
      <c r="Z31" s="58">
        <f t="shared" ref="Z31:AA31" si="10">+$E$2-Z29</f>
        <v>-102000</v>
      </c>
      <c r="AA31" s="58">
        <f t="shared" si="10"/>
        <v>372.27545454585925</v>
      </c>
      <c r="AE31" s="58">
        <f t="shared" ref="AE31" si="11">+$E$2-AE29</f>
        <v>3045440</v>
      </c>
    </row>
  </sheetData>
  <sheetProtection algorithmName="SHA-512" hashValue="iMef9R2O6T/XJrnx08rfWHF8MPGfqSeZS1Ka/yqXG1RKaFctR4E9UhtuT4cVsxnxrbfboTYnTKolwaTL2NqN7A==" saltValue="UnUbJSZxfAMqQXH7Ud7ehw==" spinCount="100000" sheet="1" objects="1" scenarios="1"/>
  <mergeCells count="1">
    <mergeCell ref="J3:X3"/>
  </mergeCells>
  <conditionalFormatting sqref="J31:X31">
    <cfRule type="cellIs" dxfId="1703" priority="10" operator="lessThan">
      <formula>0</formula>
    </cfRule>
  </conditionalFormatting>
  <conditionalFormatting sqref="Z31">
    <cfRule type="cellIs" dxfId="1702" priority="9" operator="lessThan">
      <formula>0</formula>
    </cfRule>
  </conditionalFormatting>
  <conditionalFormatting sqref="AA31">
    <cfRule type="cellIs" dxfId="1701" priority="8" operator="lessThan">
      <formula>0</formula>
    </cfRule>
  </conditionalFormatting>
  <conditionalFormatting sqref="AE31">
    <cfRule type="cellIs" dxfId="1700" priority="7" operator="lessThan">
      <formula>0</formula>
    </cfRule>
  </conditionalFormatting>
  <conditionalFormatting sqref="AB6:AB27">
    <cfRule type="cellIs" dxfId="1699" priority="4" operator="lessThanOrEqual">
      <formula>$AI$12</formula>
    </cfRule>
    <cfRule type="cellIs" dxfId="1698" priority="5" operator="greaterThanOrEqual">
      <formula>$AI$11</formula>
    </cfRule>
    <cfRule type="cellIs" dxfId="1697" priority="6" operator="between">
      <formula>$AI$11</formula>
      <formula>$AI$12</formula>
    </cfRule>
  </conditionalFormatting>
  <pageMargins left="0.7" right="0.7" top="0.75" bottom="0.75" header="0.3" footer="0.3"/>
  <pageSetup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cellIs" priority="3" operator="greaterThan" id="{702DF170-9418-4898-8C20-E85C5806FF09}">
            <xm:f>Summary!$N$20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H6:H27</xm:sqref>
        </x14:conditionalFormatting>
        <x14:conditionalFormatting xmlns:xm="http://schemas.microsoft.com/office/excel/2006/main" pivot="1">
          <x14:cfRule type="cellIs" priority="2" operator="lessThan" id="{EA74AA4D-C7AC-4850-A845-A2EC98482A63}">
            <xm:f>Summary!$N$22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H6:H27</xm:sqref>
        </x14:conditionalFormatting>
        <x14:conditionalFormatting xmlns:xm="http://schemas.microsoft.com/office/excel/2006/main" pivot="1">
          <x14:cfRule type="cellIs" priority="1" operator="between" id="{9CFC425F-629E-437F-9B8B-B6DD320922AF}">
            <xm:f>Summary!$N$20</xm:f>
            <xm:f>Summary!$N$22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H6:H27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1"/>
  <sheetViews>
    <sheetView showGridLines="0" showRowColHeaders="0" zoomScaleNormal="100" workbookViewId="0">
      <pane xSplit="8" ySplit="5" topLeftCell="V10" activePane="bottomRight" state="frozen"/>
      <selection pane="topRight" activeCell="I1" sqref="I1"/>
      <selection pane="bottomLeft" activeCell="A6" sqref="A6"/>
      <selection pane="bottomRight" activeCell="AE6" sqref="AE6"/>
    </sheetView>
  </sheetViews>
  <sheetFormatPr defaultRowHeight="12.75" x14ac:dyDescent="0.2"/>
  <cols>
    <col min="1" max="1" width="1.7109375" customWidth="1"/>
    <col min="2" max="2" width="48.5703125" customWidth="1"/>
    <col min="3" max="3" width="32.140625" customWidth="1"/>
    <col min="4" max="4" width="11.5703125" customWidth="1"/>
    <col min="5" max="5" width="11.5703125" bestFit="1" customWidth="1"/>
    <col min="6" max="6" width="9.42578125" bestFit="1" customWidth="1"/>
    <col min="7" max="7" width="6.28515625" bestFit="1" customWidth="1"/>
    <col min="8" max="8" width="6.28515625" customWidth="1"/>
    <col min="9" max="9" width="1.7109375" customWidth="1"/>
    <col min="10" max="24" width="11.28515625" bestFit="1" customWidth="1"/>
    <col min="25" max="25" width="1.7109375" customWidth="1"/>
    <col min="26" max="27" width="11.5703125" bestFit="1" customWidth="1"/>
    <col min="28" max="28" width="9.28515625" bestFit="1" customWidth="1"/>
    <col min="29" max="30" width="10" bestFit="1" customWidth="1"/>
    <col min="31" max="31" width="11.5703125" bestFit="1" customWidth="1"/>
    <col min="32" max="32" width="9.5703125" bestFit="1" customWidth="1"/>
    <col min="33" max="33" width="9" bestFit="1" customWidth="1"/>
    <col min="34" max="35" width="0" hidden="1" customWidth="1"/>
  </cols>
  <sheetData>
    <row r="1" spans="2:35" ht="6" customHeight="1" x14ac:dyDescent="0.2"/>
    <row r="2" spans="2:35" ht="15.75" x14ac:dyDescent="0.2">
      <c r="B2" s="200" t="s">
        <v>136</v>
      </c>
      <c r="D2" s="54" t="s">
        <v>86</v>
      </c>
      <c r="E2" s="40">
        <f>+Summary!O12</f>
        <v>2194040</v>
      </c>
      <c r="F2" s="40"/>
    </row>
    <row r="3" spans="2:35" ht="15.75" thickBot="1" x14ac:dyDescent="0.3">
      <c r="J3" s="203" t="s">
        <v>85</v>
      </c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5"/>
      <c r="Y3" s="52"/>
      <c r="Z3" s="21"/>
      <c r="AA3" s="21"/>
      <c r="AB3" s="21"/>
      <c r="AC3" s="21"/>
      <c r="AD3" s="21"/>
      <c r="AE3" s="21"/>
    </row>
    <row r="4" spans="2:35" ht="13.5" hidden="1" thickBot="1" x14ac:dyDescent="0.25">
      <c r="B4" s="50"/>
      <c r="C4" s="74"/>
      <c r="D4" s="51" t="s">
        <v>64</v>
      </c>
      <c r="E4" s="75"/>
      <c r="F4" s="50"/>
      <c r="G4" s="185"/>
      <c r="H4" s="50"/>
      <c r="I4" s="50"/>
      <c r="Y4" s="53"/>
    </row>
    <row r="5" spans="2:35" ht="45.75" thickBot="1" x14ac:dyDescent="0.25">
      <c r="B5" s="192" t="s">
        <v>1</v>
      </c>
      <c r="C5" s="175" t="s">
        <v>0</v>
      </c>
      <c r="D5" s="193" t="s">
        <v>66</v>
      </c>
      <c r="E5" s="193" t="s">
        <v>67</v>
      </c>
      <c r="F5" s="193" t="s">
        <v>133</v>
      </c>
      <c r="G5" s="193" t="s">
        <v>119</v>
      </c>
      <c r="H5" s="194" t="s">
        <v>110</v>
      </c>
      <c r="I5" s="191"/>
      <c r="J5" s="55">
        <v>1</v>
      </c>
      <c r="K5" s="55">
        <v>2</v>
      </c>
      <c r="L5" s="55">
        <v>3</v>
      </c>
      <c r="M5" s="55">
        <v>4</v>
      </c>
      <c r="N5" s="55">
        <v>5</v>
      </c>
      <c r="O5" s="55">
        <v>6</v>
      </c>
      <c r="P5" s="55">
        <v>7</v>
      </c>
      <c r="Q5" s="55">
        <v>8</v>
      </c>
      <c r="R5" s="55">
        <v>9</v>
      </c>
      <c r="S5" s="55">
        <v>10</v>
      </c>
      <c r="T5" s="55">
        <v>11</v>
      </c>
      <c r="U5" s="55">
        <v>12</v>
      </c>
      <c r="V5" s="55">
        <v>13</v>
      </c>
      <c r="W5" s="55">
        <v>14</v>
      </c>
      <c r="X5" s="55">
        <v>15</v>
      </c>
      <c r="Y5" s="56"/>
      <c r="Z5" s="61" t="s">
        <v>69</v>
      </c>
      <c r="AA5" s="189" t="s">
        <v>70</v>
      </c>
      <c r="AB5" s="61" t="s">
        <v>71</v>
      </c>
      <c r="AC5" s="61" t="s">
        <v>131</v>
      </c>
      <c r="AD5" s="63" t="s">
        <v>132</v>
      </c>
      <c r="AE5" s="62" t="s">
        <v>87</v>
      </c>
      <c r="AF5" s="63" t="s">
        <v>88</v>
      </c>
      <c r="AG5" s="63" t="s">
        <v>134</v>
      </c>
    </row>
    <row r="6" spans="2:35" ht="25.5" x14ac:dyDescent="0.2">
      <c r="B6" s="150" t="s">
        <v>47</v>
      </c>
      <c r="C6" s="151" t="s">
        <v>24</v>
      </c>
      <c r="D6" s="110">
        <v>0</v>
      </c>
      <c r="E6" s="110">
        <v>392109</v>
      </c>
      <c r="F6" s="112">
        <v>14</v>
      </c>
      <c r="G6" s="112">
        <v>448</v>
      </c>
      <c r="H6" s="186">
        <v>0.91428571428571426</v>
      </c>
      <c r="I6" s="190"/>
      <c r="J6" s="24">
        <f>+VLOOKUP($B6,consolidated!$B$28:$R$49,consolidated!D$2,FALSE)</f>
        <v>250000</v>
      </c>
      <c r="K6" s="24">
        <f>+VLOOKUP($B6,consolidated!$B$28:$R$49,consolidated!E$2,FALSE)</f>
        <v>392109</v>
      </c>
      <c r="L6" s="24">
        <f>+VLOOKUP($B6,consolidated!$B$28:$R$49,consolidated!F$2,FALSE)</f>
        <v>392109</v>
      </c>
      <c r="M6" s="24">
        <f>+VLOOKUP($B6,consolidated!$B$28:$R$49,consolidated!G$2,FALSE)</f>
        <v>392109</v>
      </c>
      <c r="N6" s="24">
        <f>+VLOOKUP($B6,consolidated!$B$28:$R$49,consolidated!H$2,FALSE)</f>
        <v>392109</v>
      </c>
      <c r="O6" s="24">
        <f>+VLOOKUP($B6,consolidated!$B$28:$R$49,consolidated!I$2,FALSE)</f>
        <v>297511</v>
      </c>
      <c r="P6" s="24">
        <f>+VLOOKUP($B6,consolidated!$B$28:$R$49,consolidated!J$2,FALSE)</f>
        <v>300000</v>
      </c>
      <c r="Q6" s="24">
        <f>+VLOOKUP($B6,consolidated!$B$28:$R$49,consolidated!K$2,FALSE)</f>
        <v>350000</v>
      </c>
      <c r="R6" s="24">
        <f>+VLOOKUP($B6,consolidated!$B$28:$R$49,consolidated!L$2,FALSE)</f>
        <v>392109</v>
      </c>
      <c r="S6" s="24">
        <f>+VLOOKUP($B6,consolidated!$B$28:$R$49,consolidated!M$2,FALSE)</f>
        <v>392109</v>
      </c>
      <c r="T6" s="24">
        <f>+VLOOKUP($B6,consolidated!$B$28:$R$49,consolidated!N$2,FALSE)</f>
        <v>240117</v>
      </c>
      <c r="U6" s="24">
        <f>+VLOOKUP($B6,consolidated!$B$28:$R$49,consolidated!O$2,FALSE)</f>
        <v>0</v>
      </c>
      <c r="V6" s="24">
        <f>+VLOOKUP($B6,consolidated!$B$28:$R$49,consolidated!P$2,FALSE)</f>
        <v>0</v>
      </c>
      <c r="W6" s="24">
        <f>+VLOOKUP($B6,consolidated!$B$28:$R$49,consolidated!Q$2,FALSE)</f>
        <v>0</v>
      </c>
      <c r="X6" s="24">
        <f>+VLOOKUP($B6,consolidated!$B$28:$R$49,consolidated!R$2,FALSE)</f>
        <v>0</v>
      </c>
      <c r="Z6" s="58">
        <f>MEDIAN(J6:T6)</f>
        <v>392109</v>
      </c>
      <c r="AA6" s="58">
        <f>AVERAGE(J6:T6)</f>
        <v>344571.09090909088</v>
      </c>
      <c r="AB6" s="59">
        <f>+COUNTIF(J6:T6,"&gt;1")</f>
        <v>11</v>
      </c>
      <c r="AC6" s="58">
        <f>MAX(J6:T6)</f>
        <v>392109</v>
      </c>
      <c r="AD6" s="58">
        <f>MIN(J6:T6)</f>
        <v>240117</v>
      </c>
      <c r="AE6" s="201"/>
      <c r="AF6" s="60">
        <f t="shared" ref="AF6:AF27" si="0">+AE6/E6</f>
        <v>0</v>
      </c>
      <c r="AG6" s="24" t="str">
        <f>IF(OR(D6=0,AE6=""),"",AE6-D6)</f>
        <v/>
      </c>
    </row>
    <row r="7" spans="2:35" ht="25.5" x14ac:dyDescent="0.2">
      <c r="B7" s="152" t="s">
        <v>45</v>
      </c>
      <c r="C7" s="153" t="s">
        <v>24</v>
      </c>
      <c r="D7" s="114">
        <v>234675</v>
      </c>
      <c r="E7" s="114">
        <v>529389</v>
      </c>
      <c r="F7" s="116">
        <v>14</v>
      </c>
      <c r="G7" s="116">
        <v>442</v>
      </c>
      <c r="H7" s="187">
        <v>0.90204081632653066</v>
      </c>
      <c r="I7" s="190"/>
      <c r="J7" s="24">
        <f>+VLOOKUP($B7,consolidated!$B$28:$R$49,consolidated!D$2,FALSE)</f>
        <v>257460</v>
      </c>
      <c r="K7" s="24">
        <f>+VLOOKUP($B7,consolidated!$B$28:$R$49,consolidated!E$2,FALSE)</f>
        <v>529389</v>
      </c>
      <c r="L7" s="24">
        <f>+VLOOKUP($B7,consolidated!$B$28:$R$49,consolidated!F$2,FALSE)</f>
        <v>529389</v>
      </c>
      <c r="M7" s="24">
        <f>+VLOOKUP($B7,consolidated!$B$28:$R$49,consolidated!G$2,FALSE)</f>
        <v>529389</v>
      </c>
      <c r="N7" s="24">
        <f>+VLOOKUP($B7,consolidated!$B$28:$R$49,consolidated!H$2,FALSE)</f>
        <v>529389</v>
      </c>
      <c r="O7" s="24">
        <f>+VLOOKUP($B7,consolidated!$B$28:$R$49,consolidated!I$2,FALSE)</f>
        <v>434791</v>
      </c>
      <c r="P7" s="24">
        <f>+VLOOKUP($B7,consolidated!$B$28:$R$49,consolidated!J$2,FALSE)</f>
        <v>380000</v>
      </c>
      <c r="Q7" s="24">
        <f>+VLOOKUP($B7,consolidated!$B$28:$R$49,consolidated!K$2,FALSE)</f>
        <v>375000</v>
      </c>
      <c r="R7" s="24">
        <f>+VLOOKUP($B7,consolidated!$B$28:$R$49,consolidated!L$2,FALSE)</f>
        <v>529389</v>
      </c>
      <c r="S7" s="24">
        <f>+VLOOKUP($B7,consolidated!$B$28:$R$49,consolidated!M$2,FALSE)</f>
        <v>529389</v>
      </c>
      <c r="T7" s="24">
        <f>+VLOOKUP($B7,consolidated!$B$28:$R$49,consolidated!N$2,FALSE)</f>
        <v>324182</v>
      </c>
      <c r="U7" s="24">
        <f>+VLOOKUP($B7,consolidated!$B$28:$R$49,consolidated!O$2,FALSE)</f>
        <v>0</v>
      </c>
      <c r="V7" s="24">
        <f>+VLOOKUP($B7,consolidated!$B$28:$R$49,consolidated!P$2,FALSE)</f>
        <v>0</v>
      </c>
      <c r="W7" s="24">
        <f>+VLOOKUP($B7,consolidated!$B$28:$R$49,consolidated!Q$2,FALSE)</f>
        <v>0</v>
      </c>
      <c r="X7" s="24">
        <f>+VLOOKUP($B7,consolidated!$B$28:$R$49,consolidated!R$2,FALSE)</f>
        <v>0</v>
      </c>
      <c r="Z7" s="58">
        <f t="shared" ref="Z7:Z27" si="1">MEDIAN(J7:T7)</f>
        <v>529389</v>
      </c>
      <c r="AA7" s="58">
        <f t="shared" ref="AA7:AA27" si="2">AVERAGE(J7:T7)</f>
        <v>449797</v>
      </c>
      <c r="AB7" s="59">
        <f t="shared" ref="AB7:AB27" si="3">+COUNTIF(J7:T7,"&gt;1")</f>
        <v>11</v>
      </c>
      <c r="AC7" s="58">
        <f t="shared" ref="AC7:AC27" si="4">MAX(J7:T7)</f>
        <v>529389</v>
      </c>
      <c r="AD7" s="58">
        <f t="shared" ref="AD7:AD27" si="5">MIN(J7:T7)</f>
        <v>257460</v>
      </c>
      <c r="AE7" s="201"/>
      <c r="AF7" s="60">
        <f t="shared" si="0"/>
        <v>0</v>
      </c>
      <c r="AG7" s="24" t="str">
        <f t="shared" ref="AG7:AG27" si="6">IF(OR(D7=0,AE7=""),"",AE7-D7)</f>
        <v/>
      </c>
    </row>
    <row r="8" spans="2:35" ht="25.5" x14ac:dyDescent="0.2">
      <c r="B8" s="152" t="s">
        <v>62</v>
      </c>
      <c r="C8" s="153" t="s">
        <v>43</v>
      </c>
      <c r="D8" s="114">
        <v>138019</v>
      </c>
      <c r="E8" s="114">
        <v>179483</v>
      </c>
      <c r="F8" s="116">
        <v>14</v>
      </c>
      <c r="G8" s="116">
        <v>441</v>
      </c>
      <c r="H8" s="187">
        <v>0.9</v>
      </c>
      <c r="I8" s="190"/>
      <c r="J8" s="24">
        <f>+VLOOKUP($B8,consolidated!$B$28:$R$49,consolidated!D$2,FALSE)</f>
        <v>117327</v>
      </c>
      <c r="K8" s="24">
        <f>+VLOOKUP($B8,consolidated!$B$28:$R$49,consolidated!E$2,FALSE)</f>
        <v>179483</v>
      </c>
      <c r="L8" s="24">
        <f>+VLOOKUP($B8,consolidated!$B$28:$R$49,consolidated!F$2,FALSE)</f>
        <v>179483</v>
      </c>
      <c r="M8" s="24">
        <f>+VLOOKUP($B8,consolidated!$B$28:$R$49,consolidated!G$2,FALSE)</f>
        <v>179483</v>
      </c>
      <c r="N8" s="24">
        <f>+VLOOKUP($B8,consolidated!$B$28:$R$49,consolidated!H$2,FALSE)</f>
        <v>179483</v>
      </c>
      <c r="O8" s="24">
        <f>+VLOOKUP($B8,consolidated!$B$28:$R$49,consolidated!I$2,FALSE)</f>
        <v>96710</v>
      </c>
      <c r="P8" s="24">
        <f>+VLOOKUP($B8,consolidated!$B$28:$R$49,consolidated!J$2,FALSE)</f>
        <v>120000</v>
      </c>
      <c r="Q8" s="24">
        <f>+VLOOKUP($B8,consolidated!$B$28:$R$49,consolidated!K$2,FALSE)</f>
        <v>150000</v>
      </c>
      <c r="R8" s="24">
        <f>+VLOOKUP($B8,consolidated!$B$28:$R$49,consolidated!L$2,FALSE)</f>
        <v>179483</v>
      </c>
      <c r="S8" s="24">
        <f>+VLOOKUP($B8,consolidated!$B$28:$R$49,consolidated!M$2,FALSE)</f>
        <v>179483</v>
      </c>
      <c r="T8" s="24">
        <f>+VLOOKUP($B8,consolidated!$B$28:$R$49,consolidated!N$2,FALSE)</f>
        <v>109910</v>
      </c>
      <c r="U8" s="24">
        <f>+VLOOKUP($B8,consolidated!$B$28:$R$49,consolidated!O$2,FALSE)</f>
        <v>0</v>
      </c>
      <c r="V8" s="24">
        <f>+VLOOKUP($B8,consolidated!$B$28:$R$49,consolidated!P$2,FALSE)</f>
        <v>0</v>
      </c>
      <c r="W8" s="24">
        <f>+VLOOKUP($B8,consolidated!$B$28:$R$49,consolidated!Q$2,FALSE)</f>
        <v>0</v>
      </c>
      <c r="X8" s="24">
        <f>+VLOOKUP($B8,consolidated!$B$28:$R$49,consolidated!R$2,FALSE)</f>
        <v>0</v>
      </c>
      <c r="Z8" s="58">
        <f t="shared" si="1"/>
        <v>179483</v>
      </c>
      <c r="AA8" s="58">
        <f t="shared" si="2"/>
        <v>151895</v>
      </c>
      <c r="AB8" s="59">
        <f t="shared" si="3"/>
        <v>11</v>
      </c>
      <c r="AC8" s="58">
        <f t="shared" si="4"/>
        <v>179483</v>
      </c>
      <c r="AD8" s="58">
        <f t="shared" si="5"/>
        <v>96710</v>
      </c>
      <c r="AE8" s="201"/>
      <c r="AF8" s="60">
        <f t="shared" si="0"/>
        <v>0</v>
      </c>
      <c r="AG8" s="24" t="str">
        <f t="shared" si="6"/>
        <v/>
      </c>
    </row>
    <row r="9" spans="2:35" x14ac:dyDescent="0.2">
      <c r="B9" s="152" t="s">
        <v>25</v>
      </c>
      <c r="C9" s="153" t="s">
        <v>24</v>
      </c>
      <c r="D9" s="114">
        <v>0</v>
      </c>
      <c r="E9" s="114">
        <v>4999.3399999999983</v>
      </c>
      <c r="F9" s="116">
        <v>13</v>
      </c>
      <c r="G9" s="116">
        <v>407</v>
      </c>
      <c r="H9" s="187">
        <v>0.89450549450549455</v>
      </c>
      <c r="I9" s="190"/>
      <c r="J9" s="24">
        <f>+VLOOKUP($B9,consolidated!$B$28:$R$49,consolidated!D$2,FALSE)</f>
        <v>4999</v>
      </c>
      <c r="K9" s="24">
        <f>+VLOOKUP($B9,consolidated!$B$28:$R$49,consolidated!E$2,FALSE)</f>
        <v>4999</v>
      </c>
      <c r="L9" s="24">
        <f>+VLOOKUP($B9,consolidated!$B$28:$R$49,consolidated!F$2,FALSE)</f>
        <v>4999</v>
      </c>
      <c r="M9" s="24">
        <f>+VLOOKUP($B9,consolidated!$B$28:$R$49,consolidated!G$2,FALSE)</f>
        <v>0</v>
      </c>
      <c r="N9" s="24">
        <f>+VLOOKUP($B9,consolidated!$B$28:$R$49,consolidated!H$2,FALSE)</f>
        <v>4999</v>
      </c>
      <c r="O9" s="24">
        <f>+VLOOKUP($B9,consolidated!$B$28:$R$49,consolidated!I$2,FALSE)</f>
        <v>4999</v>
      </c>
      <c r="P9" s="24">
        <f>+VLOOKUP($B9,consolidated!$B$28:$R$49,consolidated!J$2,FALSE)</f>
        <v>4999</v>
      </c>
      <c r="Q9" s="24">
        <f>+VLOOKUP($B9,consolidated!$B$28:$R$49,consolidated!K$2,FALSE)</f>
        <v>4999</v>
      </c>
      <c r="R9" s="24">
        <f>+VLOOKUP($B9,consolidated!$B$28:$R$49,consolidated!L$2,FALSE)</f>
        <v>0</v>
      </c>
      <c r="S9" s="24">
        <f>+VLOOKUP($B9,consolidated!$B$28:$R$49,consolidated!M$2,FALSE)</f>
        <v>4999</v>
      </c>
      <c r="T9" s="24">
        <f>+VLOOKUP($B9,consolidated!$B$28:$R$49,consolidated!N$2,FALSE)</f>
        <v>3061</v>
      </c>
      <c r="U9" s="24">
        <f>+VLOOKUP($B9,consolidated!$B$28:$R$49,consolidated!O$2,FALSE)</f>
        <v>0</v>
      </c>
      <c r="V9" s="24">
        <f>+VLOOKUP($B9,consolidated!$B$28:$R$49,consolidated!P$2,FALSE)</f>
        <v>0</v>
      </c>
      <c r="W9" s="24">
        <f>+VLOOKUP($B9,consolidated!$B$28:$R$49,consolidated!Q$2,FALSE)</f>
        <v>0</v>
      </c>
      <c r="X9" s="24">
        <f>+VLOOKUP($B9,consolidated!$B$28:$R$49,consolidated!R$2,FALSE)</f>
        <v>0</v>
      </c>
      <c r="Z9" s="58">
        <f t="shared" si="1"/>
        <v>4999</v>
      </c>
      <c r="AA9" s="58">
        <f t="shared" si="2"/>
        <v>3913.909090909091</v>
      </c>
      <c r="AB9" s="59">
        <f t="shared" si="3"/>
        <v>9</v>
      </c>
      <c r="AC9" s="58">
        <f t="shared" si="4"/>
        <v>4999</v>
      </c>
      <c r="AD9" s="58">
        <f t="shared" si="5"/>
        <v>0</v>
      </c>
      <c r="AE9" s="201"/>
      <c r="AF9" s="60">
        <f t="shared" si="0"/>
        <v>0</v>
      </c>
      <c r="AG9" s="24" t="str">
        <f t="shared" si="6"/>
        <v/>
      </c>
      <c r="AH9" s="64" t="s">
        <v>92</v>
      </c>
    </row>
    <row r="10" spans="2:35" ht="25.5" x14ac:dyDescent="0.2">
      <c r="B10" s="152" t="s">
        <v>63</v>
      </c>
      <c r="C10" s="153" t="s">
        <v>43</v>
      </c>
      <c r="D10" s="114">
        <v>15882</v>
      </c>
      <c r="E10" s="114">
        <v>28926</v>
      </c>
      <c r="F10" s="116">
        <v>13</v>
      </c>
      <c r="G10" s="116">
        <v>405</v>
      </c>
      <c r="H10" s="187">
        <v>0.89010989010989006</v>
      </c>
      <c r="I10" s="190"/>
      <c r="J10" s="24">
        <f>+VLOOKUP($B10,consolidated!$B$28:$R$49,consolidated!D$2,FALSE)</f>
        <v>12000</v>
      </c>
      <c r="K10" s="24">
        <f>+VLOOKUP($B10,consolidated!$B$28:$R$49,consolidated!E$2,FALSE)</f>
        <v>28926</v>
      </c>
      <c r="L10" s="24">
        <f>+VLOOKUP($B10,consolidated!$B$28:$R$49,consolidated!F$2,FALSE)</f>
        <v>28926</v>
      </c>
      <c r="M10" s="24">
        <f>+VLOOKUP($B10,consolidated!$B$28:$R$49,consolidated!G$2,FALSE)</f>
        <v>0</v>
      </c>
      <c r="N10" s="24">
        <f>+VLOOKUP($B10,consolidated!$B$28:$R$49,consolidated!H$2,FALSE)</f>
        <v>28926</v>
      </c>
      <c r="O10" s="24">
        <f>+VLOOKUP($B10,consolidated!$B$28:$R$49,consolidated!I$2,FALSE)</f>
        <v>28926</v>
      </c>
      <c r="P10" s="24">
        <f>+VLOOKUP($B10,consolidated!$B$28:$R$49,consolidated!J$2,FALSE)</f>
        <v>20000</v>
      </c>
      <c r="Q10" s="24">
        <f>+VLOOKUP($B10,consolidated!$B$28:$R$49,consolidated!K$2,FALSE)</f>
        <v>28926</v>
      </c>
      <c r="R10" s="24">
        <f>+VLOOKUP($B10,consolidated!$B$28:$R$49,consolidated!L$2,FALSE)</f>
        <v>28926</v>
      </c>
      <c r="S10" s="24">
        <f>+VLOOKUP($B10,consolidated!$B$28:$R$49,consolidated!M$2,FALSE)</f>
        <v>28926</v>
      </c>
      <c r="T10" s="24">
        <f>+VLOOKUP($B10,consolidated!$B$28:$R$49,consolidated!N$2,FALSE)</f>
        <v>17713</v>
      </c>
      <c r="U10" s="24">
        <f>+VLOOKUP($B10,consolidated!$B$28:$R$49,consolidated!O$2,FALSE)</f>
        <v>0</v>
      </c>
      <c r="V10" s="24">
        <f>+VLOOKUP($B10,consolidated!$B$28:$R$49,consolidated!P$2,FALSE)</f>
        <v>0</v>
      </c>
      <c r="W10" s="24">
        <f>+VLOOKUP($B10,consolidated!$B$28:$R$49,consolidated!Q$2,FALSE)</f>
        <v>0</v>
      </c>
      <c r="X10" s="24">
        <f>+VLOOKUP($B10,consolidated!$B$28:$R$49,consolidated!R$2,FALSE)</f>
        <v>0</v>
      </c>
      <c r="Z10" s="58">
        <f t="shared" si="1"/>
        <v>28926</v>
      </c>
      <c r="AA10" s="58">
        <f t="shared" si="2"/>
        <v>22926.81818181818</v>
      </c>
      <c r="AB10" s="59">
        <f t="shared" si="3"/>
        <v>10</v>
      </c>
      <c r="AC10" s="58">
        <f t="shared" si="4"/>
        <v>28926</v>
      </c>
      <c r="AD10" s="58">
        <f t="shared" si="5"/>
        <v>0</v>
      </c>
      <c r="AE10" s="201"/>
      <c r="AF10" s="60">
        <f t="shared" si="0"/>
        <v>0</v>
      </c>
      <c r="AG10" s="24" t="str">
        <f t="shared" si="6"/>
        <v/>
      </c>
      <c r="AH10" t="s">
        <v>89</v>
      </c>
    </row>
    <row r="11" spans="2:35" x14ac:dyDescent="0.2">
      <c r="B11" s="152" t="s">
        <v>19</v>
      </c>
      <c r="C11" s="153" t="s">
        <v>18</v>
      </c>
      <c r="D11" s="114">
        <v>36729</v>
      </c>
      <c r="E11" s="114">
        <v>36000</v>
      </c>
      <c r="F11" s="116">
        <v>14</v>
      </c>
      <c r="G11" s="116">
        <v>435</v>
      </c>
      <c r="H11" s="187">
        <v>0.88775510204081631</v>
      </c>
      <c r="I11" s="190"/>
      <c r="J11" s="24">
        <f>+VLOOKUP($B11,consolidated!$B$28:$R$49,consolidated!D$2,FALSE)</f>
        <v>30000</v>
      </c>
      <c r="K11" s="24">
        <f>+VLOOKUP($B11,consolidated!$B$28:$R$49,consolidated!E$2,FALSE)</f>
        <v>36000</v>
      </c>
      <c r="L11" s="24">
        <f>+VLOOKUP($B11,consolidated!$B$28:$R$49,consolidated!F$2,FALSE)</f>
        <v>36000</v>
      </c>
      <c r="M11" s="24">
        <f>+VLOOKUP($B11,consolidated!$B$28:$R$49,consolidated!G$2,FALSE)</f>
        <v>36000</v>
      </c>
      <c r="N11" s="24">
        <f>+VLOOKUP($B11,consolidated!$B$28:$R$49,consolidated!H$2,FALSE)</f>
        <v>36000</v>
      </c>
      <c r="O11" s="24">
        <f>+VLOOKUP($B11,consolidated!$B$28:$R$49,consolidated!I$2,FALSE)</f>
        <v>36000</v>
      </c>
      <c r="P11" s="24">
        <f>+VLOOKUP($B11,consolidated!$B$28:$R$49,consolidated!J$2,FALSE)</f>
        <v>30000</v>
      </c>
      <c r="Q11" s="24">
        <f>+VLOOKUP($B11,consolidated!$B$28:$R$49,consolidated!K$2,FALSE)</f>
        <v>36000</v>
      </c>
      <c r="R11" s="24">
        <f>+VLOOKUP($B11,consolidated!$B$28:$R$49,consolidated!L$2,FALSE)</f>
        <v>36000</v>
      </c>
      <c r="S11" s="24">
        <f>+VLOOKUP($B11,consolidated!$B$28:$R$49,consolidated!M$2,FALSE)</f>
        <v>36000</v>
      </c>
      <c r="T11" s="24">
        <f>+VLOOKUP($B11,consolidated!$B$28:$R$49,consolidated!N$2,FALSE)</f>
        <v>22045</v>
      </c>
      <c r="U11" s="24">
        <f>+VLOOKUP($B11,consolidated!$B$28:$R$49,consolidated!O$2,FALSE)</f>
        <v>0</v>
      </c>
      <c r="V11" s="24">
        <f>+VLOOKUP($B11,consolidated!$B$28:$R$49,consolidated!P$2,FALSE)</f>
        <v>0</v>
      </c>
      <c r="W11" s="24">
        <f>+VLOOKUP($B11,consolidated!$B$28:$R$49,consolidated!Q$2,FALSE)</f>
        <v>0</v>
      </c>
      <c r="X11" s="24">
        <f>+VLOOKUP($B11,consolidated!$B$28:$R$49,consolidated!R$2,FALSE)</f>
        <v>0</v>
      </c>
      <c r="Z11" s="58">
        <f t="shared" si="1"/>
        <v>36000</v>
      </c>
      <c r="AA11" s="58">
        <f t="shared" si="2"/>
        <v>33640.454545454544</v>
      </c>
      <c r="AB11" s="59">
        <f t="shared" si="3"/>
        <v>11</v>
      </c>
      <c r="AC11" s="58">
        <f t="shared" si="4"/>
        <v>36000</v>
      </c>
      <c r="AD11" s="58">
        <f t="shared" si="5"/>
        <v>22045</v>
      </c>
      <c r="AE11" s="201"/>
      <c r="AF11" s="60">
        <f t="shared" si="0"/>
        <v>0</v>
      </c>
      <c r="AG11" s="24" t="str">
        <f t="shared" si="6"/>
        <v/>
      </c>
      <c r="AH11" t="s">
        <v>90</v>
      </c>
      <c r="AI11">
        <v>10</v>
      </c>
    </row>
    <row r="12" spans="2:35" ht="25.5" x14ac:dyDescent="0.2">
      <c r="B12" s="152" t="s">
        <v>39</v>
      </c>
      <c r="C12" s="153" t="s">
        <v>38</v>
      </c>
      <c r="D12" s="114">
        <v>250000</v>
      </c>
      <c r="E12" s="114">
        <v>375000</v>
      </c>
      <c r="F12" s="116">
        <v>14</v>
      </c>
      <c r="G12" s="116">
        <v>435</v>
      </c>
      <c r="H12" s="187">
        <v>0.88775510204081631</v>
      </c>
      <c r="I12" s="190"/>
      <c r="J12" s="24">
        <f>+VLOOKUP($B12,consolidated!$B$28:$R$49,consolidated!D$2,FALSE)</f>
        <v>250000</v>
      </c>
      <c r="K12" s="24">
        <f>+VLOOKUP($B12,consolidated!$B$28:$R$49,consolidated!E$2,FALSE)</f>
        <v>375000</v>
      </c>
      <c r="L12" s="24">
        <f>+VLOOKUP($B12,consolidated!$B$28:$R$49,consolidated!F$2,FALSE)</f>
        <v>375000</v>
      </c>
      <c r="M12" s="24">
        <f>+VLOOKUP($B12,consolidated!$B$28:$R$49,consolidated!G$2,FALSE)</f>
        <v>254999.34</v>
      </c>
      <c r="N12" s="24">
        <f>+VLOOKUP($B12,consolidated!$B$28:$R$49,consolidated!H$2,FALSE)</f>
        <v>375000</v>
      </c>
      <c r="O12" s="24">
        <f>+VLOOKUP($B12,consolidated!$B$28:$R$49,consolidated!I$2,FALSE)</f>
        <v>280402</v>
      </c>
      <c r="P12" s="24">
        <f>+VLOOKUP($B12,consolidated!$B$28:$R$49,consolidated!J$2,FALSE)</f>
        <v>300000</v>
      </c>
      <c r="Q12" s="24">
        <f>+VLOOKUP($B12,consolidated!$B$28:$R$49,consolidated!K$2,FALSE)</f>
        <v>300000</v>
      </c>
      <c r="R12" s="24">
        <f>+VLOOKUP($B12,consolidated!$B$28:$R$49,consolidated!L$2,FALSE)</f>
        <v>375000</v>
      </c>
      <c r="S12" s="24">
        <f>+VLOOKUP($B12,consolidated!$B$28:$R$49,consolidated!M$2,FALSE)</f>
        <v>375000</v>
      </c>
      <c r="T12" s="24">
        <f>+VLOOKUP($B12,consolidated!$B$28:$R$49,consolidated!N$2,FALSE)</f>
        <v>226937</v>
      </c>
      <c r="U12" s="24">
        <f>+VLOOKUP($B12,consolidated!$B$28:$R$49,consolidated!O$2,FALSE)</f>
        <v>0</v>
      </c>
      <c r="V12" s="24">
        <f>+VLOOKUP($B12,consolidated!$B$28:$R$49,consolidated!P$2,FALSE)</f>
        <v>0</v>
      </c>
      <c r="W12" s="24">
        <f>+VLOOKUP($B12,consolidated!$B$28:$R$49,consolidated!Q$2,FALSE)</f>
        <v>0</v>
      </c>
      <c r="X12" s="24">
        <f>+VLOOKUP($B12,consolidated!$B$28:$R$49,consolidated!R$2,FALSE)</f>
        <v>0</v>
      </c>
      <c r="Z12" s="58">
        <f t="shared" si="1"/>
        <v>300000</v>
      </c>
      <c r="AA12" s="58">
        <f t="shared" si="2"/>
        <v>317030.75818181818</v>
      </c>
      <c r="AB12" s="59">
        <f t="shared" si="3"/>
        <v>11</v>
      </c>
      <c r="AC12" s="58">
        <f t="shared" si="4"/>
        <v>375000</v>
      </c>
      <c r="AD12" s="58">
        <f t="shared" si="5"/>
        <v>226937</v>
      </c>
      <c r="AE12" s="201"/>
      <c r="AF12" s="60">
        <f t="shared" si="0"/>
        <v>0</v>
      </c>
      <c r="AG12" s="24" t="str">
        <f t="shared" si="6"/>
        <v/>
      </c>
      <c r="AH12" t="s">
        <v>91</v>
      </c>
      <c r="AI12">
        <v>5</v>
      </c>
    </row>
    <row r="13" spans="2:35" ht="25.5" x14ac:dyDescent="0.2">
      <c r="B13" s="152" t="s">
        <v>60</v>
      </c>
      <c r="C13" s="153" t="s">
        <v>16</v>
      </c>
      <c r="D13" s="114">
        <v>98644</v>
      </c>
      <c r="E13" s="114">
        <v>143160</v>
      </c>
      <c r="F13" s="116">
        <v>14</v>
      </c>
      <c r="G13" s="116">
        <v>435</v>
      </c>
      <c r="H13" s="187">
        <v>0.88775510204081631</v>
      </c>
      <c r="I13" s="190"/>
      <c r="J13" s="24">
        <f>+VLOOKUP($B13,consolidated!$B$28:$R$49,consolidated!D$2,FALSE)</f>
        <v>125000</v>
      </c>
      <c r="K13" s="24">
        <f>+VLOOKUP($B13,consolidated!$B$28:$R$49,consolidated!E$2,FALSE)</f>
        <v>143160</v>
      </c>
      <c r="L13" s="24">
        <f>+VLOOKUP($B13,consolidated!$B$28:$R$49,consolidated!F$2,FALSE)</f>
        <v>143160</v>
      </c>
      <c r="M13" s="24">
        <f>+VLOOKUP($B13,consolidated!$B$28:$R$49,consolidated!G$2,FALSE)</f>
        <v>143160</v>
      </c>
      <c r="N13" s="24">
        <f>+VLOOKUP($B13,consolidated!$B$28:$R$49,consolidated!H$2,FALSE)</f>
        <v>143160</v>
      </c>
      <c r="O13" s="24">
        <f>+VLOOKUP($B13,consolidated!$B$28:$R$49,consolidated!I$2,FALSE)</f>
        <v>84035</v>
      </c>
      <c r="P13" s="24">
        <f>+VLOOKUP($B13,consolidated!$B$28:$R$49,consolidated!J$2,FALSE)</f>
        <v>105000</v>
      </c>
      <c r="Q13" s="24">
        <f>+VLOOKUP($B13,consolidated!$B$28:$R$49,consolidated!K$2,FALSE)</f>
        <v>100000</v>
      </c>
      <c r="R13" s="24">
        <f>+VLOOKUP($B13,consolidated!$B$28:$R$49,consolidated!L$2,FALSE)</f>
        <v>143160</v>
      </c>
      <c r="S13" s="24">
        <f>+VLOOKUP($B13,consolidated!$B$28:$R$49,consolidated!M$2,FALSE)</f>
        <v>143160</v>
      </c>
      <c r="T13" s="24">
        <f>+VLOOKUP($B13,consolidated!$B$28:$R$49,consolidated!N$2,FALSE)</f>
        <v>87667</v>
      </c>
      <c r="U13" s="24">
        <f>+VLOOKUP($B13,consolidated!$B$28:$R$49,consolidated!O$2,FALSE)</f>
        <v>0</v>
      </c>
      <c r="V13" s="24">
        <f>+VLOOKUP($B13,consolidated!$B$28:$R$49,consolidated!P$2,FALSE)</f>
        <v>0</v>
      </c>
      <c r="W13" s="24">
        <f>+VLOOKUP($B13,consolidated!$B$28:$R$49,consolidated!Q$2,FALSE)</f>
        <v>0</v>
      </c>
      <c r="X13" s="24">
        <f>+VLOOKUP($B13,consolidated!$B$28:$R$49,consolidated!R$2,FALSE)</f>
        <v>0</v>
      </c>
      <c r="Z13" s="58">
        <f t="shared" si="1"/>
        <v>143160</v>
      </c>
      <c r="AA13" s="58">
        <f t="shared" si="2"/>
        <v>123696.54545454546</v>
      </c>
      <c r="AB13" s="59">
        <f t="shared" si="3"/>
        <v>11</v>
      </c>
      <c r="AC13" s="58">
        <f t="shared" si="4"/>
        <v>143160</v>
      </c>
      <c r="AD13" s="58">
        <f t="shared" si="5"/>
        <v>84035</v>
      </c>
      <c r="AE13" s="201"/>
      <c r="AF13" s="60">
        <f t="shared" si="0"/>
        <v>0</v>
      </c>
      <c r="AG13" s="24" t="str">
        <f t="shared" si="6"/>
        <v/>
      </c>
    </row>
    <row r="14" spans="2:35" ht="25.5" x14ac:dyDescent="0.2">
      <c r="B14" s="152" t="s">
        <v>40</v>
      </c>
      <c r="C14" s="153" t="s">
        <v>24</v>
      </c>
      <c r="D14" s="114">
        <v>138262</v>
      </c>
      <c r="E14" s="114">
        <v>138262</v>
      </c>
      <c r="F14" s="116">
        <v>14</v>
      </c>
      <c r="G14" s="116">
        <v>434</v>
      </c>
      <c r="H14" s="187">
        <v>0.88571428571428568</v>
      </c>
      <c r="I14" s="190"/>
      <c r="J14" s="24">
        <f>+VLOOKUP($B14,consolidated!$B$28:$R$49,consolidated!D$2,FALSE)</f>
        <v>120000</v>
      </c>
      <c r="K14" s="24">
        <f>+VLOOKUP($B14,consolidated!$B$28:$R$49,consolidated!E$2,FALSE)</f>
        <v>138262</v>
      </c>
      <c r="L14" s="24">
        <f>+VLOOKUP($B14,consolidated!$B$28:$R$49,consolidated!F$2,FALSE)</f>
        <v>138262</v>
      </c>
      <c r="M14" s="24">
        <f>+VLOOKUP($B14,consolidated!$B$28:$R$49,consolidated!G$2,FALSE)</f>
        <v>0</v>
      </c>
      <c r="N14" s="24">
        <f>+VLOOKUP($B14,consolidated!$B$28:$R$49,consolidated!H$2,FALSE)</f>
        <v>138262</v>
      </c>
      <c r="O14" s="24">
        <f>+VLOOKUP($B14,consolidated!$B$28:$R$49,consolidated!I$2,FALSE)</f>
        <v>79125</v>
      </c>
      <c r="P14" s="24">
        <f>+VLOOKUP($B14,consolidated!$B$28:$R$49,consolidated!J$2,FALSE)</f>
        <v>120000</v>
      </c>
      <c r="Q14" s="24">
        <f>+VLOOKUP($B14,consolidated!$B$28:$R$49,consolidated!K$2,FALSE)</f>
        <v>100000</v>
      </c>
      <c r="R14" s="24">
        <f>+VLOOKUP($B14,consolidated!$B$28:$R$49,consolidated!L$2,FALSE)</f>
        <v>138262</v>
      </c>
      <c r="S14" s="24">
        <f>+VLOOKUP($B14,consolidated!$B$28:$R$49,consolidated!M$2,FALSE)</f>
        <v>138262</v>
      </c>
      <c r="T14" s="24">
        <f>+VLOOKUP($B14,consolidated!$B$28:$R$49,consolidated!N$2,FALSE)</f>
        <v>79687</v>
      </c>
      <c r="U14" s="24">
        <f>+VLOOKUP($B14,consolidated!$B$28:$R$49,consolidated!O$2,FALSE)</f>
        <v>0</v>
      </c>
      <c r="V14" s="24">
        <f>+VLOOKUP($B14,consolidated!$B$28:$R$49,consolidated!P$2,FALSE)</f>
        <v>0</v>
      </c>
      <c r="W14" s="24">
        <f>+VLOOKUP($B14,consolidated!$B$28:$R$49,consolidated!Q$2,FALSE)</f>
        <v>0</v>
      </c>
      <c r="X14" s="24">
        <f>+VLOOKUP($B14,consolidated!$B$28:$R$49,consolidated!R$2,FALSE)</f>
        <v>0</v>
      </c>
      <c r="Z14" s="58">
        <f t="shared" si="1"/>
        <v>120000</v>
      </c>
      <c r="AA14" s="58">
        <f t="shared" si="2"/>
        <v>108192.90909090909</v>
      </c>
      <c r="AB14" s="59">
        <f t="shared" si="3"/>
        <v>10</v>
      </c>
      <c r="AC14" s="58">
        <f t="shared" si="4"/>
        <v>138262</v>
      </c>
      <c r="AD14" s="58">
        <f t="shared" si="5"/>
        <v>0</v>
      </c>
      <c r="AE14" s="201"/>
      <c r="AF14" s="60">
        <f t="shared" si="0"/>
        <v>0</v>
      </c>
      <c r="AG14" s="24" t="str">
        <f t="shared" si="6"/>
        <v/>
      </c>
    </row>
    <row r="15" spans="2:35" ht="25.5" x14ac:dyDescent="0.2">
      <c r="B15" s="152" t="s">
        <v>61</v>
      </c>
      <c r="C15" s="153" t="s">
        <v>43</v>
      </c>
      <c r="D15" s="114">
        <v>153000</v>
      </c>
      <c r="E15" s="114">
        <v>153000</v>
      </c>
      <c r="F15" s="116">
        <v>13</v>
      </c>
      <c r="G15" s="116">
        <v>393</v>
      </c>
      <c r="H15" s="187">
        <v>0.86373626373626378</v>
      </c>
      <c r="I15" s="190"/>
      <c r="J15" s="24">
        <f>+VLOOKUP($B15,consolidated!$B$28:$R$49,consolidated!D$2,FALSE)</f>
        <v>117919</v>
      </c>
      <c r="K15" s="24">
        <f>+VLOOKUP($B15,consolidated!$B$28:$R$49,consolidated!E$2,FALSE)</f>
        <v>153000</v>
      </c>
      <c r="L15" s="24">
        <f>+VLOOKUP($B15,consolidated!$B$28:$R$49,consolidated!F$2,FALSE)</f>
        <v>129204</v>
      </c>
      <c r="M15" s="24">
        <f>+VLOOKUP($B15,consolidated!$B$28:$R$49,consolidated!G$2,FALSE)</f>
        <v>141491</v>
      </c>
      <c r="N15" s="24">
        <f>+VLOOKUP($B15,consolidated!$B$28:$R$49,consolidated!H$2,FALSE)</f>
        <v>153000</v>
      </c>
      <c r="O15" s="24">
        <f>+VLOOKUP($B15,consolidated!$B$28:$R$49,consolidated!I$2,FALSE)</f>
        <v>82679</v>
      </c>
      <c r="P15" s="24">
        <f>+VLOOKUP($B15,consolidated!$B$28:$R$49,consolidated!J$2,FALSE)</f>
        <v>90000</v>
      </c>
      <c r="Q15" s="24">
        <f>+VLOOKUP($B15,consolidated!$B$28:$R$49,consolidated!K$2,FALSE)</f>
        <v>100000</v>
      </c>
      <c r="R15" s="24">
        <f>+VLOOKUP($B15,consolidated!$B$28:$R$49,consolidated!L$2,FALSE)</f>
        <v>153000</v>
      </c>
      <c r="S15" s="24">
        <f>+VLOOKUP($B15,consolidated!$B$28:$R$49,consolidated!M$2,FALSE)</f>
        <v>153000</v>
      </c>
      <c r="T15" s="24">
        <f>+VLOOKUP($B15,consolidated!$B$28:$R$49,consolidated!N$2,FALSE)</f>
        <v>85829</v>
      </c>
      <c r="U15" s="24">
        <f>+VLOOKUP($B15,consolidated!$B$28:$R$49,consolidated!O$2,FALSE)</f>
        <v>0</v>
      </c>
      <c r="V15" s="24">
        <f>+VLOOKUP($B15,consolidated!$B$28:$R$49,consolidated!P$2,FALSE)</f>
        <v>0</v>
      </c>
      <c r="W15" s="24">
        <f>+VLOOKUP($B15,consolidated!$B$28:$R$49,consolidated!Q$2,FALSE)</f>
        <v>0</v>
      </c>
      <c r="X15" s="24">
        <f>+VLOOKUP($B15,consolidated!$B$28:$R$49,consolidated!R$2,FALSE)</f>
        <v>0</v>
      </c>
      <c r="Z15" s="58">
        <f t="shared" si="1"/>
        <v>129204</v>
      </c>
      <c r="AA15" s="58">
        <f t="shared" si="2"/>
        <v>123556.54545454546</v>
      </c>
      <c r="AB15" s="59">
        <f t="shared" si="3"/>
        <v>11</v>
      </c>
      <c r="AC15" s="58">
        <f t="shared" si="4"/>
        <v>153000</v>
      </c>
      <c r="AD15" s="58">
        <f t="shared" si="5"/>
        <v>82679</v>
      </c>
      <c r="AE15" s="201"/>
      <c r="AF15" s="60">
        <f t="shared" si="0"/>
        <v>0</v>
      </c>
      <c r="AG15" s="24" t="str">
        <f t="shared" si="6"/>
        <v/>
      </c>
    </row>
    <row r="16" spans="2:35" x14ac:dyDescent="0.2">
      <c r="B16" s="152" t="s">
        <v>33</v>
      </c>
      <c r="C16" s="153" t="s">
        <v>32</v>
      </c>
      <c r="D16" s="114">
        <v>97706</v>
      </c>
      <c r="E16" s="114">
        <v>204140.29</v>
      </c>
      <c r="F16" s="116">
        <v>14</v>
      </c>
      <c r="G16" s="116">
        <v>423</v>
      </c>
      <c r="H16" s="187">
        <v>0.86326530612244901</v>
      </c>
      <c r="I16" s="190"/>
      <c r="J16" s="24">
        <f>+VLOOKUP($B16,consolidated!$B$28:$R$49,consolidated!D$2,FALSE)</f>
        <v>100000</v>
      </c>
      <c r="K16" s="24">
        <f>+VLOOKUP($B16,consolidated!$B$28:$R$49,consolidated!E$2,FALSE)</f>
        <v>204140</v>
      </c>
      <c r="L16" s="24">
        <f>+VLOOKUP($B16,consolidated!$B$28:$R$49,consolidated!F$2,FALSE)</f>
        <v>0</v>
      </c>
      <c r="M16" s="24">
        <f>+VLOOKUP($B16,consolidated!$B$28:$R$49,consolidated!G$2,FALSE)</f>
        <v>204140.29</v>
      </c>
      <c r="N16" s="24">
        <f>+VLOOKUP($B16,consolidated!$B$28:$R$49,consolidated!H$2,FALSE)</f>
        <v>183712</v>
      </c>
      <c r="O16" s="24">
        <f>+VLOOKUP($B16,consolidated!$B$28:$R$49,consolidated!I$2,FALSE)</f>
        <v>109542</v>
      </c>
      <c r="P16" s="24">
        <f>+VLOOKUP($B16,consolidated!$B$28:$R$49,consolidated!J$2,FALSE)</f>
        <v>150000</v>
      </c>
      <c r="Q16" s="24">
        <f>+VLOOKUP($B16,consolidated!$B$28:$R$49,consolidated!K$2,FALSE)</f>
        <v>204140</v>
      </c>
      <c r="R16" s="24">
        <f>+VLOOKUP($B16,consolidated!$B$28:$R$49,consolidated!L$2,FALSE)</f>
        <v>135999</v>
      </c>
      <c r="S16" s="24">
        <f>+VLOOKUP($B16,consolidated!$B$28:$R$49,consolidated!M$2,FALSE)</f>
        <v>183712</v>
      </c>
      <c r="T16" s="24">
        <f>+VLOOKUP($B16,consolidated!$B$28:$R$49,consolidated!N$2,FALSE)</f>
        <v>123539</v>
      </c>
      <c r="U16" s="24">
        <f>+VLOOKUP($B16,consolidated!$B$28:$R$49,consolidated!O$2,FALSE)</f>
        <v>0</v>
      </c>
      <c r="V16" s="24">
        <f>+VLOOKUP($B16,consolidated!$B$28:$R$49,consolidated!P$2,FALSE)</f>
        <v>0</v>
      </c>
      <c r="W16" s="24">
        <f>+VLOOKUP($B16,consolidated!$B$28:$R$49,consolidated!Q$2,FALSE)</f>
        <v>0</v>
      </c>
      <c r="X16" s="24">
        <f>+VLOOKUP($B16,consolidated!$B$28:$R$49,consolidated!R$2,FALSE)</f>
        <v>0</v>
      </c>
      <c r="Z16" s="58">
        <f t="shared" si="1"/>
        <v>150000</v>
      </c>
      <c r="AA16" s="58">
        <f t="shared" si="2"/>
        <v>145356.75363636363</v>
      </c>
      <c r="AB16" s="59">
        <f t="shared" si="3"/>
        <v>10</v>
      </c>
      <c r="AC16" s="58">
        <f t="shared" si="4"/>
        <v>204140.29</v>
      </c>
      <c r="AD16" s="58">
        <f t="shared" si="5"/>
        <v>0</v>
      </c>
      <c r="AE16" s="201"/>
      <c r="AF16" s="60">
        <f t="shared" si="0"/>
        <v>0</v>
      </c>
      <c r="AG16" s="24" t="str">
        <f t="shared" si="6"/>
        <v/>
      </c>
    </row>
    <row r="17" spans="2:33" ht="25.5" x14ac:dyDescent="0.2">
      <c r="B17" s="152" t="s">
        <v>42</v>
      </c>
      <c r="C17" s="153" t="s">
        <v>41</v>
      </c>
      <c r="D17" s="114">
        <v>450000</v>
      </c>
      <c r="E17" s="114">
        <v>1000000</v>
      </c>
      <c r="F17" s="116">
        <v>13</v>
      </c>
      <c r="G17" s="116">
        <v>386</v>
      </c>
      <c r="H17" s="187">
        <v>0.84835164835164834</v>
      </c>
      <c r="I17" s="190"/>
      <c r="J17" s="24">
        <f>+VLOOKUP($B17,consolidated!$B$28:$R$49,consolidated!D$2,FALSE)</f>
        <v>500000</v>
      </c>
      <c r="K17" s="24">
        <f>+VLOOKUP($B17,consolidated!$B$28:$R$49,consolidated!E$2,FALSE)</f>
        <v>0</v>
      </c>
      <c r="L17" s="24">
        <f>+VLOOKUP($B17,consolidated!$B$28:$R$49,consolidated!F$2,FALSE)</f>
        <v>0</v>
      </c>
      <c r="M17" s="24">
        <f>+VLOOKUP($B17,consolidated!$B$28:$R$49,consolidated!G$2,FALSE)</f>
        <v>0</v>
      </c>
      <c r="N17" s="24">
        <f>+VLOOKUP($B17,consolidated!$B$28:$R$49,consolidated!H$2,FALSE)</f>
        <v>0</v>
      </c>
      <c r="O17" s="24">
        <f>+VLOOKUP($B17,consolidated!$B$28:$R$49,consolidated!I$2,FALSE)</f>
        <v>405402</v>
      </c>
      <c r="P17" s="24">
        <f>+VLOOKUP($B17,consolidated!$B$28:$R$49,consolidated!J$2,FALSE)</f>
        <v>250000</v>
      </c>
      <c r="Q17" s="24">
        <f>+VLOOKUP($B17,consolidated!$B$28:$R$49,consolidated!K$2,FALSE)</f>
        <v>150000</v>
      </c>
      <c r="R17" s="24">
        <f>+VLOOKUP($B17,consolidated!$B$28:$R$49,consolidated!L$2,FALSE)</f>
        <v>0</v>
      </c>
      <c r="S17" s="24">
        <f>+VLOOKUP($B17,consolidated!$B$28:$R$49,consolidated!M$2,FALSE)</f>
        <v>0</v>
      </c>
      <c r="T17" s="24">
        <f>+VLOOKUP($B17,consolidated!$B$28:$R$49,consolidated!N$2,FALSE)</f>
        <v>482691</v>
      </c>
      <c r="U17" s="24">
        <f>+VLOOKUP($B17,consolidated!$B$28:$R$49,consolidated!O$2,FALSE)</f>
        <v>0</v>
      </c>
      <c r="V17" s="24">
        <f>+VLOOKUP($B17,consolidated!$B$28:$R$49,consolidated!P$2,FALSE)</f>
        <v>0</v>
      </c>
      <c r="W17" s="24">
        <f>+VLOOKUP($B17,consolidated!$B$28:$R$49,consolidated!Q$2,FALSE)</f>
        <v>0</v>
      </c>
      <c r="X17" s="24">
        <f>+VLOOKUP($B17,consolidated!$B$28:$R$49,consolidated!R$2,FALSE)</f>
        <v>0</v>
      </c>
      <c r="Z17" s="58">
        <f t="shared" si="1"/>
        <v>0</v>
      </c>
      <c r="AA17" s="58">
        <f t="shared" si="2"/>
        <v>162553.90909090909</v>
      </c>
      <c r="AB17" s="59">
        <f t="shared" si="3"/>
        <v>5</v>
      </c>
      <c r="AC17" s="58">
        <f t="shared" si="4"/>
        <v>500000</v>
      </c>
      <c r="AD17" s="58">
        <f t="shared" si="5"/>
        <v>0</v>
      </c>
      <c r="AE17" s="201"/>
      <c r="AF17" s="60">
        <f t="shared" si="0"/>
        <v>0</v>
      </c>
      <c r="AG17" s="24" t="str">
        <f t="shared" si="6"/>
        <v/>
      </c>
    </row>
    <row r="18" spans="2:33" ht="25.5" x14ac:dyDescent="0.2">
      <c r="B18" s="152" t="s">
        <v>50</v>
      </c>
      <c r="C18" s="153" t="s">
        <v>59</v>
      </c>
      <c r="D18" s="114">
        <v>0</v>
      </c>
      <c r="E18" s="114">
        <v>30000</v>
      </c>
      <c r="F18" s="116">
        <v>13</v>
      </c>
      <c r="G18" s="116">
        <v>385</v>
      </c>
      <c r="H18" s="187">
        <v>0.84615384615384615</v>
      </c>
      <c r="I18" s="190"/>
      <c r="J18" s="24">
        <f>+VLOOKUP($B18,consolidated!$B$28:$R$49,consolidated!D$2,FALSE)</f>
        <v>25000</v>
      </c>
      <c r="K18" s="24">
        <f>+VLOOKUP($B18,consolidated!$B$28:$R$49,consolidated!E$2,FALSE)</f>
        <v>9572</v>
      </c>
      <c r="L18" s="24">
        <f>+VLOOKUP($B18,consolidated!$B$28:$R$49,consolidated!F$2,FALSE)</f>
        <v>30000</v>
      </c>
      <c r="M18" s="24">
        <f>+VLOOKUP($B18,consolidated!$B$28:$R$49,consolidated!G$2,FALSE)</f>
        <v>30000</v>
      </c>
      <c r="N18" s="24">
        <f>+VLOOKUP($B18,consolidated!$B$28:$R$49,consolidated!H$2,FALSE)</f>
        <v>30000</v>
      </c>
      <c r="O18" s="24">
        <f>+VLOOKUP($B18,consolidated!$B$28:$R$49,consolidated!I$2,FALSE)</f>
        <v>15000</v>
      </c>
      <c r="P18" s="24">
        <f>+VLOOKUP($B18,consolidated!$B$28:$R$49,consolidated!J$2,FALSE)</f>
        <v>15000</v>
      </c>
      <c r="Q18" s="24">
        <f>+VLOOKUP($B18,consolidated!$B$28:$R$49,consolidated!K$2,FALSE)</f>
        <v>0</v>
      </c>
      <c r="R18" s="24">
        <f>+VLOOKUP($B18,consolidated!$B$28:$R$49,consolidated!L$2,FALSE)</f>
        <v>9572</v>
      </c>
      <c r="S18" s="24">
        <f>+VLOOKUP($B18,consolidated!$B$28:$R$49,consolidated!M$2,FALSE)</f>
        <v>30000</v>
      </c>
      <c r="T18" s="24">
        <f>+VLOOKUP($B18,consolidated!$B$28:$R$49,consolidated!N$2,FALSE)</f>
        <v>17939</v>
      </c>
      <c r="U18" s="24">
        <f>+VLOOKUP($B18,consolidated!$B$28:$R$49,consolidated!O$2,FALSE)</f>
        <v>0</v>
      </c>
      <c r="V18" s="24">
        <f>+VLOOKUP($B18,consolidated!$B$28:$R$49,consolidated!P$2,FALSE)</f>
        <v>0</v>
      </c>
      <c r="W18" s="24">
        <f>+VLOOKUP($B18,consolidated!$B$28:$R$49,consolidated!Q$2,FALSE)</f>
        <v>0</v>
      </c>
      <c r="X18" s="24">
        <f>+VLOOKUP($B18,consolidated!$B$28:$R$49,consolidated!R$2,FALSE)</f>
        <v>0</v>
      </c>
      <c r="Z18" s="58">
        <f t="shared" si="1"/>
        <v>17939</v>
      </c>
      <c r="AA18" s="58">
        <f t="shared" si="2"/>
        <v>19280.272727272728</v>
      </c>
      <c r="AB18" s="59">
        <f t="shared" si="3"/>
        <v>10</v>
      </c>
      <c r="AC18" s="58">
        <f t="shared" si="4"/>
        <v>30000</v>
      </c>
      <c r="AD18" s="58">
        <f t="shared" si="5"/>
        <v>0</v>
      </c>
      <c r="AE18" s="201"/>
      <c r="AF18" s="60">
        <f t="shared" si="0"/>
        <v>0</v>
      </c>
      <c r="AG18" s="24" t="str">
        <f t="shared" si="6"/>
        <v/>
      </c>
    </row>
    <row r="19" spans="2:33" ht="25.5" x14ac:dyDescent="0.2">
      <c r="B19" s="152" t="s">
        <v>37</v>
      </c>
      <c r="C19" s="153" t="s">
        <v>36</v>
      </c>
      <c r="D19" s="114">
        <v>0</v>
      </c>
      <c r="E19" s="114">
        <v>73140</v>
      </c>
      <c r="F19" s="116">
        <v>14</v>
      </c>
      <c r="G19" s="116">
        <v>406</v>
      </c>
      <c r="H19" s="187">
        <v>0.82857142857142863</v>
      </c>
      <c r="I19" s="190"/>
      <c r="J19" s="24">
        <f>+VLOOKUP($B19,consolidated!$B$28:$R$49,consolidated!D$2,FALSE)</f>
        <v>25000</v>
      </c>
      <c r="K19" s="24">
        <f>+VLOOKUP($B19,consolidated!$B$28:$R$49,consolidated!E$2,FALSE)</f>
        <v>0</v>
      </c>
      <c r="L19" s="24">
        <f>+VLOOKUP($B19,consolidated!$B$28:$R$49,consolidated!F$2,FALSE)</f>
        <v>0</v>
      </c>
      <c r="M19" s="24">
        <f>+VLOOKUP($B19,consolidated!$B$28:$R$49,consolidated!G$2,FALSE)</f>
        <v>73140</v>
      </c>
      <c r="N19" s="24">
        <f>+VLOOKUP($B19,consolidated!$B$28:$R$49,consolidated!H$2,FALSE)</f>
        <v>0</v>
      </c>
      <c r="O19" s="24">
        <f>+VLOOKUP($B19,consolidated!$B$28:$R$49,consolidated!I$2,FALSE)</f>
        <v>73140</v>
      </c>
      <c r="P19" s="24">
        <f>+VLOOKUP($B19,consolidated!$B$28:$R$49,consolidated!J$2,FALSE)</f>
        <v>30000</v>
      </c>
      <c r="Q19" s="24">
        <f>+VLOOKUP($B19,consolidated!$B$28:$R$49,consolidated!K$2,FALSE)</f>
        <v>73140</v>
      </c>
      <c r="R19" s="24">
        <f>+VLOOKUP($B19,consolidated!$B$28:$R$49,consolidated!L$2,FALSE)</f>
        <v>73140</v>
      </c>
      <c r="S19" s="24">
        <f>+VLOOKUP($B19,consolidated!$B$28:$R$49,consolidated!M$2,FALSE)</f>
        <v>0</v>
      </c>
      <c r="T19" s="24">
        <f>+VLOOKUP($B19,consolidated!$B$28:$R$49,consolidated!N$2,FALSE)</f>
        <v>43735</v>
      </c>
      <c r="U19" s="24">
        <f>+VLOOKUP($B19,consolidated!$B$28:$R$49,consolidated!O$2,FALSE)</f>
        <v>0</v>
      </c>
      <c r="V19" s="24">
        <f>+VLOOKUP($B19,consolidated!$B$28:$R$49,consolidated!P$2,FALSE)</f>
        <v>0</v>
      </c>
      <c r="W19" s="24">
        <f>+VLOOKUP($B19,consolidated!$B$28:$R$49,consolidated!Q$2,FALSE)</f>
        <v>0</v>
      </c>
      <c r="X19" s="24">
        <f>+VLOOKUP($B19,consolidated!$B$28:$R$49,consolidated!R$2,FALSE)</f>
        <v>0</v>
      </c>
      <c r="Z19" s="58">
        <f t="shared" si="1"/>
        <v>30000</v>
      </c>
      <c r="AA19" s="58">
        <f t="shared" si="2"/>
        <v>35572.272727272728</v>
      </c>
      <c r="AB19" s="59">
        <f t="shared" si="3"/>
        <v>7</v>
      </c>
      <c r="AC19" s="58">
        <f t="shared" si="4"/>
        <v>73140</v>
      </c>
      <c r="AD19" s="58">
        <f t="shared" si="5"/>
        <v>0</v>
      </c>
      <c r="AE19" s="201"/>
      <c r="AF19" s="60">
        <f t="shared" si="0"/>
        <v>0</v>
      </c>
      <c r="AG19" s="24" t="str">
        <f t="shared" si="6"/>
        <v/>
      </c>
    </row>
    <row r="20" spans="2:33" ht="25.5" x14ac:dyDescent="0.2">
      <c r="B20" s="152" t="s">
        <v>31</v>
      </c>
      <c r="C20" s="153" t="s">
        <v>56</v>
      </c>
      <c r="D20" s="114">
        <v>331945</v>
      </c>
      <c r="E20" s="114">
        <v>173000</v>
      </c>
      <c r="F20" s="116">
        <v>14</v>
      </c>
      <c r="G20" s="116">
        <v>405</v>
      </c>
      <c r="H20" s="187">
        <v>0.82653061224489799</v>
      </c>
      <c r="I20" s="190"/>
      <c r="J20" s="24">
        <f>+VLOOKUP($B20,consolidated!$B$28:$R$49,consolidated!D$2,FALSE)</f>
        <v>85000</v>
      </c>
      <c r="K20" s="24">
        <f>+VLOOKUP($B20,consolidated!$B$28:$R$49,consolidated!E$2,FALSE)</f>
        <v>0</v>
      </c>
      <c r="L20" s="24">
        <f>+VLOOKUP($B20,consolidated!$B$28:$R$49,consolidated!F$2,FALSE)</f>
        <v>0</v>
      </c>
      <c r="M20" s="24">
        <f>+VLOOKUP($B20,consolidated!$B$28:$R$49,consolidated!G$2,FALSE)</f>
        <v>0</v>
      </c>
      <c r="N20" s="24">
        <f>+VLOOKUP($B20,consolidated!$B$28:$R$49,consolidated!H$2,FALSE)</f>
        <v>0</v>
      </c>
      <c r="O20" s="24">
        <f>+VLOOKUP($B20,consolidated!$B$28:$R$49,consolidated!I$2,FALSE)</f>
        <v>113875</v>
      </c>
      <c r="P20" s="24">
        <f>+VLOOKUP($B20,consolidated!$B$28:$R$49,consolidated!J$2,FALSE)</f>
        <v>80000</v>
      </c>
      <c r="Q20" s="24">
        <f>+VLOOKUP($B20,consolidated!$B$28:$R$49,consolidated!K$2,FALSE)</f>
        <v>50000</v>
      </c>
      <c r="R20" s="24">
        <f>+VLOOKUP($B20,consolidated!$B$28:$R$49,consolidated!L$2,FALSE)</f>
        <v>0</v>
      </c>
      <c r="S20" s="24">
        <f>+VLOOKUP($B20,consolidated!$B$28:$R$49,consolidated!M$2,FALSE)</f>
        <v>0</v>
      </c>
      <c r="T20" s="24">
        <f>+VLOOKUP($B20,consolidated!$B$28:$R$49,consolidated!N$2,FALSE)</f>
        <v>103447</v>
      </c>
      <c r="U20" s="24">
        <f>+VLOOKUP($B20,consolidated!$B$28:$R$49,consolidated!O$2,FALSE)</f>
        <v>0</v>
      </c>
      <c r="V20" s="24">
        <f>+VLOOKUP($B20,consolidated!$B$28:$R$49,consolidated!P$2,FALSE)</f>
        <v>0</v>
      </c>
      <c r="W20" s="24">
        <f>+VLOOKUP($B20,consolidated!$B$28:$R$49,consolidated!Q$2,FALSE)</f>
        <v>0</v>
      </c>
      <c r="X20" s="24">
        <f>+VLOOKUP($B20,consolidated!$B$28:$R$49,consolidated!R$2,FALSE)</f>
        <v>0</v>
      </c>
      <c r="Z20" s="58">
        <f t="shared" si="1"/>
        <v>0</v>
      </c>
      <c r="AA20" s="58">
        <f t="shared" si="2"/>
        <v>39302</v>
      </c>
      <c r="AB20" s="59">
        <f t="shared" si="3"/>
        <v>5</v>
      </c>
      <c r="AC20" s="58">
        <f t="shared" si="4"/>
        <v>113875</v>
      </c>
      <c r="AD20" s="58">
        <f t="shared" si="5"/>
        <v>0</v>
      </c>
      <c r="AE20" s="201"/>
      <c r="AF20" s="60">
        <f t="shared" si="0"/>
        <v>0</v>
      </c>
      <c r="AG20" s="24" t="str">
        <f t="shared" si="6"/>
        <v/>
      </c>
    </row>
    <row r="21" spans="2:33" ht="25.5" x14ac:dyDescent="0.2">
      <c r="B21" s="152" t="s">
        <v>12</v>
      </c>
      <c r="C21" s="153" t="s">
        <v>11</v>
      </c>
      <c r="D21" s="114">
        <v>159000</v>
      </c>
      <c r="E21" s="114">
        <v>693288</v>
      </c>
      <c r="F21" s="116">
        <v>13</v>
      </c>
      <c r="G21" s="116">
        <v>366</v>
      </c>
      <c r="H21" s="187">
        <v>0.81333333333333335</v>
      </c>
      <c r="I21" s="190"/>
      <c r="J21" s="24">
        <f>+VLOOKUP($B21,consolidated!$B$28:$R$49,consolidated!D$2,FALSE)</f>
        <v>0</v>
      </c>
      <c r="K21" s="24">
        <f>+VLOOKUP($B21,consolidated!$B$28:$R$49,consolidated!E$2,FALSE)</f>
        <v>0</v>
      </c>
      <c r="L21" s="24">
        <f>+VLOOKUP($B21,consolidated!$B$28:$R$49,consolidated!F$2,FALSE)</f>
        <v>0</v>
      </c>
      <c r="M21" s="24">
        <f>+VLOOKUP($B21,consolidated!$B$28:$R$49,consolidated!G$2,FALSE)</f>
        <v>0</v>
      </c>
      <c r="N21" s="24">
        <f>+VLOOKUP($B21,consolidated!$B$28:$R$49,consolidated!H$2,FALSE)</f>
        <v>0</v>
      </c>
      <c r="O21" s="24">
        <f>+VLOOKUP($B21,consolidated!$B$28:$R$49,consolidated!I$2,FALSE)</f>
        <v>0</v>
      </c>
      <c r="P21" s="24">
        <f>+VLOOKUP($B21,consolidated!$B$28:$R$49,consolidated!J$2,FALSE)</f>
        <v>0</v>
      </c>
      <c r="Q21" s="24">
        <f>+VLOOKUP($B21,consolidated!$B$28:$R$49,consolidated!K$2,FALSE)</f>
        <v>0</v>
      </c>
      <c r="R21" s="24">
        <f>+VLOOKUP($B21,consolidated!$B$28:$R$49,consolidated!L$2,FALSE)</f>
        <v>0</v>
      </c>
      <c r="S21" s="24">
        <f>+VLOOKUP($B21,consolidated!$B$28:$R$49,consolidated!M$2,FALSE)</f>
        <v>0</v>
      </c>
      <c r="T21" s="24" t="str">
        <f>+VLOOKUP($B21,consolidated!$B$28:$R$49,consolidated!N$2,FALSE)</f>
        <v xml:space="preserve"> $-   </v>
      </c>
      <c r="U21" s="24">
        <f>+VLOOKUP($B21,consolidated!$B$28:$R$49,consolidated!O$2,FALSE)</f>
        <v>0</v>
      </c>
      <c r="V21" s="24">
        <f>+VLOOKUP($B21,consolidated!$B$28:$R$49,consolidated!P$2,FALSE)</f>
        <v>0</v>
      </c>
      <c r="W21" s="24">
        <f>+VLOOKUP($B21,consolidated!$B$28:$R$49,consolidated!Q$2,FALSE)</f>
        <v>0</v>
      </c>
      <c r="X21" s="24">
        <f>+VLOOKUP($B21,consolidated!$B$28:$R$49,consolidated!R$2,FALSE)</f>
        <v>0</v>
      </c>
      <c r="Z21" s="58">
        <f t="shared" si="1"/>
        <v>0</v>
      </c>
      <c r="AA21" s="58">
        <f t="shared" si="2"/>
        <v>0</v>
      </c>
      <c r="AB21" s="59">
        <f t="shared" si="3"/>
        <v>0</v>
      </c>
      <c r="AC21" s="58">
        <f t="shared" si="4"/>
        <v>0</v>
      </c>
      <c r="AD21" s="58">
        <f t="shared" si="5"/>
        <v>0</v>
      </c>
      <c r="AE21" s="201"/>
      <c r="AF21" s="60">
        <f t="shared" si="0"/>
        <v>0</v>
      </c>
      <c r="AG21" s="24" t="str">
        <f t="shared" si="6"/>
        <v/>
      </c>
    </row>
    <row r="22" spans="2:33" x14ac:dyDescent="0.2">
      <c r="B22" s="152" t="s">
        <v>23</v>
      </c>
      <c r="C22" s="153" t="s">
        <v>22</v>
      </c>
      <c r="D22" s="114">
        <v>106384</v>
      </c>
      <c r="E22" s="114">
        <v>111028</v>
      </c>
      <c r="F22" s="116">
        <v>13</v>
      </c>
      <c r="G22" s="116">
        <v>362</v>
      </c>
      <c r="H22" s="187">
        <v>0.79560439560439555</v>
      </c>
      <c r="I22" s="190"/>
      <c r="J22" s="24">
        <f>+VLOOKUP($B22,consolidated!$B$28:$R$49,consolidated!D$2,FALSE)</f>
        <v>31968</v>
      </c>
      <c r="K22" s="24">
        <f>+VLOOKUP($B22,consolidated!$B$28:$R$49,consolidated!E$2,FALSE)</f>
        <v>0</v>
      </c>
      <c r="L22" s="24">
        <f>+VLOOKUP($B22,consolidated!$B$28:$R$49,consolidated!F$2,FALSE)</f>
        <v>0</v>
      </c>
      <c r="M22" s="24">
        <f>+VLOOKUP($B22,consolidated!$B$28:$R$49,consolidated!G$2,FALSE)</f>
        <v>111028</v>
      </c>
      <c r="N22" s="24">
        <f>+VLOOKUP($B22,consolidated!$B$28:$R$49,consolidated!H$2,FALSE)</f>
        <v>0</v>
      </c>
      <c r="O22" s="24">
        <f>+VLOOKUP($B22,consolidated!$B$28:$R$49,consolidated!I$2,FALSE)</f>
        <v>51903</v>
      </c>
      <c r="P22" s="24">
        <f>+VLOOKUP($B22,consolidated!$B$28:$R$49,consolidated!J$2,FALSE)</f>
        <v>55000</v>
      </c>
      <c r="Q22" s="24">
        <f>+VLOOKUP($B22,consolidated!$B$28:$R$49,consolidated!K$2,FALSE)</f>
        <v>50000</v>
      </c>
      <c r="R22" s="24">
        <f>+VLOOKUP($B22,consolidated!$B$28:$R$49,consolidated!L$2,FALSE)</f>
        <v>0</v>
      </c>
      <c r="S22" s="24">
        <f>+VLOOKUP($B22,consolidated!$B$28:$R$49,consolidated!M$2,FALSE)</f>
        <v>0</v>
      </c>
      <c r="T22" s="24">
        <f>+VLOOKUP($B22,consolidated!$B$28:$R$49,consolidated!N$2,FALSE)</f>
        <v>51992</v>
      </c>
      <c r="U22" s="24">
        <f>+VLOOKUP($B22,consolidated!$B$28:$R$49,consolidated!O$2,FALSE)</f>
        <v>0</v>
      </c>
      <c r="V22" s="24">
        <f>+VLOOKUP($B22,consolidated!$B$28:$R$49,consolidated!P$2,FALSE)</f>
        <v>0</v>
      </c>
      <c r="W22" s="24">
        <f>+VLOOKUP($B22,consolidated!$B$28:$R$49,consolidated!Q$2,FALSE)</f>
        <v>0</v>
      </c>
      <c r="X22" s="24">
        <f>+VLOOKUP($B22,consolidated!$B$28:$R$49,consolidated!R$2,FALSE)</f>
        <v>0</v>
      </c>
      <c r="Z22" s="58">
        <f t="shared" si="1"/>
        <v>31968</v>
      </c>
      <c r="AA22" s="58">
        <f t="shared" si="2"/>
        <v>31990.090909090908</v>
      </c>
      <c r="AB22" s="59">
        <f t="shared" si="3"/>
        <v>6</v>
      </c>
      <c r="AC22" s="58">
        <f t="shared" si="4"/>
        <v>111028</v>
      </c>
      <c r="AD22" s="58">
        <f t="shared" si="5"/>
        <v>0</v>
      </c>
      <c r="AE22" s="201"/>
      <c r="AF22" s="60">
        <f t="shared" si="0"/>
        <v>0</v>
      </c>
      <c r="AG22" s="24" t="str">
        <f t="shared" si="6"/>
        <v/>
      </c>
    </row>
    <row r="23" spans="2:33" x14ac:dyDescent="0.2">
      <c r="B23" s="152" t="s">
        <v>15</v>
      </c>
      <c r="C23" s="153" t="s">
        <v>14</v>
      </c>
      <c r="D23" s="114">
        <v>0</v>
      </c>
      <c r="E23" s="114">
        <v>163100</v>
      </c>
      <c r="F23" s="116">
        <v>14</v>
      </c>
      <c r="G23" s="116">
        <v>375</v>
      </c>
      <c r="H23" s="187">
        <v>0.76530612244897955</v>
      </c>
      <c r="I23" s="190"/>
      <c r="J23" s="24">
        <f>+VLOOKUP($B23,consolidated!$B$28:$R$49,consolidated!D$2,FALSE)</f>
        <v>50000</v>
      </c>
      <c r="K23" s="24">
        <f>+VLOOKUP($B23,consolidated!$B$28:$R$49,consolidated!E$2,FALSE)</f>
        <v>0</v>
      </c>
      <c r="L23" s="24">
        <f>+VLOOKUP($B23,consolidated!$B$28:$R$49,consolidated!F$2,FALSE)</f>
        <v>0</v>
      </c>
      <c r="M23" s="24">
        <f>+VLOOKUP($B23,consolidated!$B$28:$R$49,consolidated!G$2,FALSE)</f>
        <v>0</v>
      </c>
      <c r="N23" s="24">
        <f>+VLOOKUP($B23,consolidated!$B$28:$R$49,consolidated!H$2,FALSE)</f>
        <v>0</v>
      </c>
      <c r="O23" s="24">
        <f>+VLOOKUP($B23,consolidated!$B$28:$R$49,consolidated!I$2,FALSE)</f>
        <v>0</v>
      </c>
      <c r="P23" s="24">
        <f>+VLOOKUP($B23,consolidated!$B$28:$R$49,consolidated!J$2,FALSE)</f>
        <v>54041</v>
      </c>
      <c r="Q23" s="24">
        <f>+VLOOKUP($B23,consolidated!$B$28:$R$49,consolidated!K$2,FALSE)</f>
        <v>50000</v>
      </c>
      <c r="R23" s="24">
        <f>+VLOOKUP($B23,consolidated!$B$28:$R$49,consolidated!L$2,FALSE)</f>
        <v>0</v>
      </c>
      <c r="S23" s="24">
        <f>+VLOOKUP($B23,consolidated!$B$28:$R$49,consolidated!M$2,FALSE)</f>
        <v>0</v>
      </c>
      <c r="T23" s="24">
        <f>+VLOOKUP($B23,consolidated!$B$28:$R$49,consolidated!N$2,FALSE)</f>
        <v>76377</v>
      </c>
      <c r="U23" s="24">
        <f>+VLOOKUP($B23,consolidated!$B$28:$R$49,consolidated!O$2,FALSE)</f>
        <v>0</v>
      </c>
      <c r="V23" s="24">
        <f>+VLOOKUP($B23,consolidated!$B$28:$R$49,consolidated!P$2,FALSE)</f>
        <v>0</v>
      </c>
      <c r="W23" s="24">
        <f>+VLOOKUP($B23,consolidated!$B$28:$R$49,consolidated!Q$2,FALSE)</f>
        <v>0</v>
      </c>
      <c r="X23" s="24">
        <f>+VLOOKUP($B23,consolidated!$B$28:$R$49,consolidated!R$2,FALSE)</f>
        <v>0</v>
      </c>
      <c r="Z23" s="58">
        <f t="shared" si="1"/>
        <v>0</v>
      </c>
      <c r="AA23" s="58">
        <f t="shared" si="2"/>
        <v>20947.090909090908</v>
      </c>
      <c r="AB23" s="59">
        <f t="shared" si="3"/>
        <v>4</v>
      </c>
      <c r="AC23" s="58">
        <f t="shared" si="4"/>
        <v>76377</v>
      </c>
      <c r="AD23" s="58">
        <f t="shared" si="5"/>
        <v>0</v>
      </c>
      <c r="AE23" s="201"/>
      <c r="AF23" s="60">
        <f t="shared" si="0"/>
        <v>0</v>
      </c>
      <c r="AG23" s="24" t="str">
        <f t="shared" si="6"/>
        <v/>
      </c>
    </row>
    <row r="24" spans="2:33" x14ac:dyDescent="0.2">
      <c r="B24" s="152" t="s">
        <v>35</v>
      </c>
      <c r="C24" s="153" t="s">
        <v>34</v>
      </c>
      <c r="D24" s="114">
        <v>183508</v>
      </c>
      <c r="E24" s="114">
        <v>207508</v>
      </c>
      <c r="F24" s="116">
        <v>14</v>
      </c>
      <c r="G24" s="116">
        <v>368</v>
      </c>
      <c r="H24" s="187">
        <v>0.75102040816326532</v>
      </c>
      <c r="I24" s="190"/>
      <c r="J24" s="24">
        <f>+VLOOKUP($B24,consolidated!$B$28:$R$49,consolidated!D$2,FALSE)</f>
        <v>50000</v>
      </c>
      <c r="K24" s="24">
        <f>+VLOOKUP($B24,consolidated!$B$28:$R$49,consolidated!E$2,FALSE)</f>
        <v>0</v>
      </c>
      <c r="L24" s="24">
        <f>+VLOOKUP($B24,consolidated!$B$28:$R$49,consolidated!F$2,FALSE)</f>
        <v>207508</v>
      </c>
      <c r="M24" s="24">
        <f>+VLOOKUP($B24,consolidated!$B$28:$R$49,consolidated!G$2,FALSE)</f>
        <v>0</v>
      </c>
      <c r="N24" s="24">
        <f>+VLOOKUP($B24,consolidated!$B$28:$R$49,consolidated!H$2,FALSE)</f>
        <v>0</v>
      </c>
      <c r="O24" s="24">
        <f>+VLOOKUP($B24,consolidated!$B$28:$R$49,consolidated!I$2,FALSE)</f>
        <v>0</v>
      </c>
      <c r="P24" s="24">
        <f>+VLOOKUP($B24,consolidated!$B$28:$R$49,consolidated!J$2,FALSE)</f>
        <v>90000</v>
      </c>
      <c r="Q24" s="24">
        <f>+VLOOKUP($B24,consolidated!$B$28:$R$49,consolidated!K$2,FALSE)</f>
        <v>50000</v>
      </c>
      <c r="R24" s="24">
        <f>+VLOOKUP($B24,consolidated!$B$28:$R$49,consolidated!L$2,FALSE)</f>
        <v>0</v>
      </c>
      <c r="S24" s="24">
        <f>+VLOOKUP($B24,consolidated!$B$28:$R$49,consolidated!M$2,FALSE)</f>
        <v>0</v>
      </c>
      <c r="T24" s="24">
        <f>+VLOOKUP($B24,consolidated!$B$28:$R$49,consolidated!N$2,FALSE)</f>
        <v>97172</v>
      </c>
      <c r="U24" s="24">
        <f>+VLOOKUP($B24,consolidated!$B$28:$R$49,consolidated!O$2,FALSE)</f>
        <v>0</v>
      </c>
      <c r="V24" s="24">
        <f>+VLOOKUP($B24,consolidated!$B$28:$R$49,consolidated!P$2,FALSE)</f>
        <v>0</v>
      </c>
      <c r="W24" s="24">
        <f>+VLOOKUP($B24,consolidated!$B$28:$R$49,consolidated!Q$2,FALSE)</f>
        <v>0</v>
      </c>
      <c r="X24" s="24">
        <f>+VLOOKUP($B24,consolidated!$B$28:$R$49,consolidated!R$2,FALSE)</f>
        <v>0</v>
      </c>
      <c r="Z24" s="58">
        <f t="shared" si="1"/>
        <v>0</v>
      </c>
      <c r="AA24" s="58">
        <f t="shared" si="2"/>
        <v>44970.909090909088</v>
      </c>
      <c r="AB24" s="59">
        <f t="shared" si="3"/>
        <v>5</v>
      </c>
      <c r="AC24" s="58">
        <f t="shared" si="4"/>
        <v>207508</v>
      </c>
      <c r="AD24" s="58">
        <f t="shared" si="5"/>
        <v>0</v>
      </c>
      <c r="AE24" s="201"/>
      <c r="AF24" s="60">
        <f t="shared" si="0"/>
        <v>0</v>
      </c>
      <c r="AG24" s="24" t="str">
        <f t="shared" si="6"/>
        <v/>
      </c>
    </row>
    <row r="25" spans="2:33" ht="25.5" x14ac:dyDescent="0.2">
      <c r="B25" s="152" t="s">
        <v>27</v>
      </c>
      <c r="C25" s="153" t="s">
        <v>26</v>
      </c>
      <c r="D25" s="114">
        <v>0</v>
      </c>
      <c r="E25" s="114">
        <v>111848.19999999997</v>
      </c>
      <c r="F25" s="116">
        <v>14</v>
      </c>
      <c r="G25" s="116">
        <v>367</v>
      </c>
      <c r="H25" s="187">
        <v>0.74897959183673468</v>
      </c>
      <c r="I25" s="190"/>
      <c r="J25" s="24">
        <f>+VLOOKUP($B25,consolidated!$B$28:$R$49,consolidated!D$2,FALSE)</f>
        <v>15000</v>
      </c>
      <c r="K25" s="24">
        <f>+VLOOKUP($B25,consolidated!$B$28:$R$49,consolidated!E$2,FALSE)</f>
        <v>0</v>
      </c>
      <c r="L25" s="24">
        <f>+VLOOKUP($B25,consolidated!$B$28:$R$49,consolidated!F$2,FALSE)</f>
        <v>0</v>
      </c>
      <c r="M25" s="24">
        <f>+VLOOKUP($B25,consolidated!$B$28:$R$49,consolidated!G$2,FALSE)</f>
        <v>0</v>
      </c>
      <c r="N25" s="24">
        <f>+VLOOKUP($B25,consolidated!$B$28:$R$49,consolidated!H$2,FALSE)</f>
        <v>0</v>
      </c>
      <c r="O25" s="24">
        <f>+VLOOKUP($B25,consolidated!$B$28:$R$49,consolidated!I$2,FALSE)</f>
        <v>0</v>
      </c>
      <c r="P25" s="24">
        <f>+VLOOKUP($B25,consolidated!$B$28:$R$49,consolidated!J$2,FALSE)</f>
        <v>0</v>
      </c>
      <c r="Q25" s="24">
        <f>+VLOOKUP($B25,consolidated!$B$28:$R$49,consolidated!K$2,FALSE)</f>
        <v>21835</v>
      </c>
      <c r="R25" s="24">
        <f>+VLOOKUP($B25,consolidated!$B$28:$R$49,consolidated!L$2,FALSE)</f>
        <v>0</v>
      </c>
      <c r="S25" s="24">
        <f>+VLOOKUP($B25,consolidated!$B$28:$R$49,consolidated!M$2,FALSE)</f>
        <v>0</v>
      </c>
      <c r="T25" s="24" t="str">
        <f>+VLOOKUP($B25,consolidated!$B$28:$R$49,consolidated!N$2,FALSE)</f>
        <v xml:space="preserve"> $-   </v>
      </c>
      <c r="U25" s="24">
        <f>+VLOOKUP($B25,consolidated!$B$28:$R$49,consolidated!O$2,FALSE)</f>
        <v>0</v>
      </c>
      <c r="V25" s="24">
        <f>+VLOOKUP($B25,consolidated!$B$28:$R$49,consolidated!P$2,FALSE)</f>
        <v>0</v>
      </c>
      <c r="W25" s="24">
        <f>+VLOOKUP($B25,consolidated!$B$28:$R$49,consolidated!Q$2,FALSE)</f>
        <v>0</v>
      </c>
      <c r="X25" s="24">
        <f>+VLOOKUP($B25,consolidated!$B$28:$R$49,consolidated!R$2,FALSE)</f>
        <v>0</v>
      </c>
      <c r="Z25" s="58">
        <f t="shared" si="1"/>
        <v>0</v>
      </c>
      <c r="AA25" s="58">
        <f t="shared" si="2"/>
        <v>3683.5</v>
      </c>
      <c r="AB25" s="59">
        <f t="shared" si="3"/>
        <v>2</v>
      </c>
      <c r="AC25" s="58">
        <f t="shared" si="4"/>
        <v>21835</v>
      </c>
      <c r="AD25" s="58">
        <f t="shared" si="5"/>
        <v>0</v>
      </c>
      <c r="AE25" s="202"/>
      <c r="AF25" s="60">
        <f t="shared" si="0"/>
        <v>0</v>
      </c>
      <c r="AG25" s="24" t="str">
        <f t="shared" si="6"/>
        <v/>
      </c>
    </row>
    <row r="26" spans="2:33" x14ac:dyDescent="0.2">
      <c r="B26" s="152" t="s">
        <v>21</v>
      </c>
      <c r="C26" s="153" t="s">
        <v>20</v>
      </c>
      <c r="D26" s="114">
        <v>0</v>
      </c>
      <c r="E26" s="114">
        <v>99100</v>
      </c>
      <c r="F26" s="116">
        <v>14</v>
      </c>
      <c r="G26" s="116">
        <v>357</v>
      </c>
      <c r="H26" s="187">
        <v>0.72857142857142854</v>
      </c>
      <c r="I26" s="190"/>
      <c r="J26" s="24">
        <f>+VLOOKUP($B26,consolidated!$B$28:$R$49,consolidated!D$2,FALSE)</f>
        <v>20000</v>
      </c>
      <c r="K26" s="24">
        <f>+VLOOKUP($B26,consolidated!$B$28:$R$49,consolidated!E$2,FALSE)</f>
        <v>0</v>
      </c>
      <c r="L26" s="24">
        <f>+VLOOKUP($B26,consolidated!$B$28:$R$49,consolidated!F$2,FALSE)</f>
        <v>0</v>
      </c>
      <c r="M26" s="24">
        <f>+VLOOKUP($B26,consolidated!$B$28:$R$49,consolidated!G$2,FALSE)</f>
        <v>99100</v>
      </c>
      <c r="N26" s="24">
        <f>+VLOOKUP($B26,consolidated!$B$28:$R$49,consolidated!H$2,FALSE)</f>
        <v>0</v>
      </c>
      <c r="O26" s="24">
        <f>+VLOOKUP($B26,consolidated!$B$28:$R$49,consolidated!I$2,FALSE)</f>
        <v>0</v>
      </c>
      <c r="P26" s="24">
        <f>+VLOOKUP($B26,consolidated!$B$28:$R$49,consolidated!J$2,FALSE)</f>
        <v>0</v>
      </c>
      <c r="Q26" s="24">
        <f>+VLOOKUP($B26,consolidated!$B$28:$R$49,consolidated!K$2,FALSE)</f>
        <v>0</v>
      </c>
      <c r="R26" s="24">
        <f>+VLOOKUP($B26,consolidated!$B$28:$R$49,consolidated!L$2,FALSE)</f>
        <v>0</v>
      </c>
      <c r="S26" s="24">
        <f>+VLOOKUP($B26,consolidated!$B$28:$R$49,consolidated!M$2,FALSE)</f>
        <v>0</v>
      </c>
      <c r="T26" s="24" t="str">
        <f>+VLOOKUP($B26,consolidated!$B$28:$R$49,consolidated!N$2,FALSE)</f>
        <v xml:space="preserve"> $-   </v>
      </c>
      <c r="U26" s="24">
        <f>+VLOOKUP($B26,consolidated!$B$28:$R$49,consolidated!O$2,FALSE)</f>
        <v>0</v>
      </c>
      <c r="V26" s="24">
        <f>+VLOOKUP($B26,consolidated!$B$28:$R$49,consolidated!P$2,FALSE)</f>
        <v>0</v>
      </c>
      <c r="W26" s="24">
        <f>+VLOOKUP($B26,consolidated!$B$28:$R$49,consolidated!Q$2,FALSE)</f>
        <v>0</v>
      </c>
      <c r="X26" s="24">
        <f>+VLOOKUP($B26,consolidated!$B$28:$R$49,consolidated!R$2,FALSE)</f>
        <v>0</v>
      </c>
      <c r="Z26" s="58">
        <f t="shared" si="1"/>
        <v>0</v>
      </c>
      <c r="AA26" s="58">
        <f t="shared" si="2"/>
        <v>11910</v>
      </c>
      <c r="AB26" s="59">
        <f t="shared" si="3"/>
        <v>2</v>
      </c>
      <c r="AC26" s="58">
        <f t="shared" si="4"/>
        <v>99100</v>
      </c>
      <c r="AD26" s="58">
        <f t="shared" si="5"/>
        <v>0</v>
      </c>
      <c r="AE26" s="202"/>
      <c r="AF26" s="60">
        <f t="shared" si="0"/>
        <v>0</v>
      </c>
      <c r="AG26" s="24" t="str">
        <f t="shared" si="6"/>
        <v/>
      </c>
    </row>
    <row r="27" spans="2:33" ht="26.25" thickBot="1" x14ac:dyDescent="0.25">
      <c r="B27" s="154" t="s">
        <v>29</v>
      </c>
      <c r="C27" s="155" t="s">
        <v>28</v>
      </c>
      <c r="D27" s="118">
        <v>0</v>
      </c>
      <c r="E27" s="118">
        <v>75000</v>
      </c>
      <c r="F27" s="120">
        <v>14</v>
      </c>
      <c r="G27" s="120">
        <v>309</v>
      </c>
      <c r="H27" s="188">
        <v>0.6306122448979592</v>
      </c>
      <c r="I27" s="190"/>
      <c r="J27" s="24">
        <f>+VLOOKUP($B27,consolidated!$B$28:$R$49,consolidated!D$2,FALSE)</f>
        <v>7367</v>
      </c>
      <c r="K27" s="24">
        <f>+VLOOKUP($B27,consolidated!$B$28:$R$49,consolidated!E$2,FALSE)</f>
        <v>0</v>
      </c>
      <c r="L27" s="24">
        <f>+VLOOKUP($B27,consolidated!$B$28:$R$49,consolidated!F$2,FALSE)</f>
        <v>0</v>
      </c>
      <c r="M27" s="24">
        <f>+VLOOKUP($B27,consolidated!$B$28:$R$49,consolidated!G$2,FALSE)</f>
        <v>0</v>
      </c>
      <c r="N27" s="24">
        <f>+VLOOKUP($B27,consolidated!$B$28:$R$49,consolidated!H$2,FALSE)</f>
        <v>0</v>
      </c>
      <c r="O27" s="24">
        <f>+VLOOKUP($B27,consolidated!$B$28:$R$49,consolidated!I$2,FALSE)</f>
        <v>0</v>
      </c>
      <c r="P27" s="24">
        <f>+VLOOKUP($B27,consolidated!$B$28:$R$49,consolidated!J$2,FALSE)</f>
        <v>0</v>
      </c>
      <c r="Q27" s="24">
        <f>+VLOOKUP($B27,consolidated!$B$28:$R$49,consolidated!K$2,FALSE)</f>
        <v>0</v>
      </c>
      <c r="R27" s="24">
        <f>+VLOOKUP($B27,consolidated!$B$28:$R$49,consolidated!L$2,FALSE)</f>
        <v>0</v>
      </c>
      <c r="S27" s="24">
        <f>+VLOOKUP($B27,consolidated!$B$28:$R$49,consolidated!M$2,FALSE)</f>
        <v>0</v>
      </c>
      <c r="T27" s="24" t="str">
        <f>+VLOOKUP($B27,consolidated!$B$28:$R$49,consolidated!N$2,FALSE)</f>
        <v xml:space="preserve"> $-   </v>
      </c>
      <c r="U27" s="24">
        <f>+VLOOKUP($B27,consolidated!$B$28:$R$49,consolidated!O$2,FALSE)</f>
        <v>0</v>
      </c>
      <c r="V27" s="24">
        <f>+VLOOKUP($B27,consolidated!$B$28:$R$49,consolidated!P$2,FALSE)</f>
        <v>0</v>
      </c>
      <c r="W27" s="24">
        <f>+VLOOKUP($B27,consolidated!$B$28:$R$49,consolidated!Q$2,FALSE)</f>
        <v>0</v>
      </c>
      <c r="X27" s="24">
        <f>+VLOOKUP($B27,consolidated!$B$28:$R$49,consolidated!R$2,FALSE)</f>
        <v>0</v>
      </c>
      <c r="Z27" s="58">
        <f t="shared" si="1"/>
        <v>0</v>
      </c>
      <c r="AA27" s="58">
        <f t="shared" si="2"/>
        <v>736.7</v>
      </c>
      <c r="AB27" s="59">
        <f t="shared" si="3"/>
        <v>1</v>
      </c>
      <c r="AC27" s="58">
        <f t="shared" si="4"/>
        <v>7367</v>
      </c>
      <c r="AD27" s="58">
        <f t="shared" si="5"/>
        <v>0</v>
      </c>
      <c r="AE27" s="202"/>
      <c r="AF27" s="60">
        <f t="shared" si="0"/>
        <v>0</v>
      </c>
      <c r="AG27" s="24" t="str">
        <f t="shared" si="6"/>
        <v/>
      </c>
    </row>
    <row r="28" spans="2:33" ht="6" customHeight="1" x14ac:dyDescent="0.2"/>
    <row r="29" spans="2:33" x14ac:dyDescent="0.2">
      <c r="C29" s="65" t="s">
        <v>68</v>
      </c>
      <c r="D29" s="58">
        <f>+SUM(D6:D27)</f>
        <v>2393754</v>
      </c>
      <c r="E29" s="58">
        <f>+SUM(E6:E27)</f>
        <v>4921480.83</v>
      </c>
      <c r="F29" s="95"/>
      <c r="J29" s="57">
        <f t="shared" ref="J29:AA29" si="7">+SUM(J6:J27)</f>
        <v>2194040</v>
      </c>
      <c r="K29" s="57">
        <f t="shared" si="7"/>
        <v>2194040</v>
      </c>
      <c r="L29" s="57">
        <f t="shared" si="7"/>
        <v>2194040</v>
      </c>
      <c r="M29" s="57">
        <f t="shared" si="7"/>
        <v>2194039.63</v>
      </c>
      <c r="N29" s="57">
        <f t="shared" si="7"/>
        <v>2194040</v>
      </c>
      <c r="O29" s="57">
        <f t="shared" si="7"/>
        <v>2194040</v>
      </c>
      <c r="P29" s="57">
        <f t="shared" si="7"/>
        <v>2194040</v>
      </c>
      <c r="Q29" s="57">
        <f t="shared" si="7"/>
        <v>2194040</v>
      </c>
      <c r="R29" s="57">
        <f t="shared" si="7"/>
        <v>2194040</v>
      </c>
      <c r="S29" s="57">
        <f t="shared" si="7"/>
        <v>2194040</v>
      </c>
      <c r="T29" s="57">
        <f t="shared" si="7"/>
        <v>2194040</v>
      </c>
      <c r="U29" s="57">
        <f t="shared" si="7"/>
        <v>0</v>
      </c>
      <c r="V29" s="57">
        <f t="shared" si="7"/>
        <v>0</v>
      </c>
      <c r="W29" s="57">
        <f t="shared" si="7"/>
        <v>0</v>
      </c>
      <c r="X29" s="57">
        <f t="shared" si="7"/>
        <v>0</v>
      </c>
      <c r="Z29" s="57">
        <f t="shared" si="7"/>
        <v>2093177</v>
      </c>
      <c r="AA29" s="57">
        <f t="shared" si="7"/>
        <v>2195524.5300000003</v>
      </c>
      <c r="AE29" s="57">
        <f t="shared" ref="AE29" si="8">+SUM(AE6:AE27)</f>
        <v>0</v>
      </c>
    </row>
    <row r="31" spans="2:33" x14ac:dyDescent="0.2">
      <c r="J31" s="58">
        <f>+$E$2-J29</f>
        <v>0</v>
      </c>
      <c r="K31" s="58">
        <f t="shared" ref="K31:X31" si="9">+$E$2-K29</f>
        <v>0</v>
      </c>
      <c r="L31" s="58">
        <f t="shared" si="9"/>
        <v>0</v>
      </c>
      <c r="M31" s="58">
        <f t="shared" si="9"/>
        <v>0.37000000011175871</v>
      </c>
      <c r="N31" s="58">
        <f t="shared" si="9"/>
        <v>0</v>
      </c>
      <c r="O31" s="58">
        <f t="shared" si="9"/>
        <v>0</v>
      </c>
      <c r="P31" s="58">
        <f t="shared" si="9"/>
        <v>0</v>
      </c>
      <c r="Q31" s="58">
        <f t="shared" si="9"/>
        <v>0</v>
      </c>
      <c r="R31" s="58">
        <f t="shared" si="9"/>
        <v>0</v>
      </c>
      <c r="S31" s="58">
        <f t="shared" si="9"/>
        <v>0</v>
      </c>
      <c r="T31" s="58">
        <f t="shared" si="9"/>
        <v>0</v>
      </c>
      <c r="U31" s="58">
        <f t="shared" si="9"/>
        <v>2194040</v>
      </c>
      <c r="V31" s="58">
        <f t="shared" si="9"/>
        <v>2194040</v>
      </c>
      <c r="W31" s="58">
        <f t="shared" si="9"/>
        <v>2194040</v>
      </c>
      <c r="X31" s="58">
        <f t="shared" si="9"/>
        <v>2194040</v>
      </c>
      <c r="Z31" s="58">
        <f t="shared" ref="Z31:AA31" si="10">+$E$2-Z29</f>
        <v>100863</v>
      </c>
      <c r="AA31" s="58">
        <f t="shared" si="10"/>
        <v>-1484.5300000002608</v>
      </c>
      <c r="AE31" s="58">
        <f t="shared" ref="AE31" si="11">+$E$2-AE29</f>
        <v>2194040</v>
      </c>
    </row>
  </sheetData>
  <sheetProtection algorithmName="SHA-512" hashValue="qJ1Wd5ZYKK3N1xfbe/gDdA1n/pp6EW/9Us1tGV3sguDoY29LwCEGmJcznhSLH6TueodEs9wGBRLk1mFNIdLhaA==" saltValue="Uwe1BPJW7fLx/9NaYe7j2Q==" spinCount="100000" sheet="1" objects="1" scenarios="1"/>
  <mergeCells count="1">
    <mergeCell ref="J3:X3"/>
  </mergeCells>
  <conditionalFormatting sqref="J31:X31">
    <cfRule type="cellIs" dxfId="1184" priority="10" operator="lessThan">
      <formula>0</formula>
    </cfRule>
  </conditionalFormatting>
  <conditionalFormatting sqref="Z31">
    <cfRule type="cellIs" dxfId="1183" priority="9" operator="lessThan">
      <formula>0</formula>
    </cfRule>
  </conditionalFormatting>
  <conditionalFormatting sqref="AA31">
    <cfRule type="cellIs" dxfId="1182" priority="8" operator="lessThan">
      <formula>0</formula>
    </cfRule>
  </conditionalFormatting>
  <conditionalFormatting sqref="AE31">
    <cfRule type="cellIs" dxfId="1181" priority="7" operator="lessThan">
      <formula>0</formula>
    </cfRule>
  </conditionalFormatting>
  <conditionalFormatting sqref="AB6:AB27">
    <cfRule type="cellIs" dxfId="1180" priority="4" operator="lessThanOrEqual">
      <formula>$AI$12</formula>
    </cfRule>
    <cfRule type="cellIs" dxfId="1179" priority="5" operator="greaterThanOrEqual">
      <formula>$AI$11</formula>
    </cfRule>
    <cfRule type="cellIs" dxfId="1178" priority="6" operator="between">
      <formula>$AI$11</formula>
      <formula>$AI$12</formula>
    </cfRule>
  </conditionalFormatting>
  <pageMargins left="0.7" right="0.7" top="0.75" bottom="0.75" header="0.3" footer="0.3"/>
  <pageSetup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cellIs" priority="3" operator="greaterThan" id="{C65C0C57-689F-4944-89E7-306C127DE554}">
            <xm:f>Summary!$N$20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H6:H27</xm:sqref>
        </x14:conditionalFormatting>
        <x14:conditionalFormatting xmlns:xm="http://schemas.microsoft.com/office/excel/2006/main" pivot="1">
          <x14:cfRule type="cellIs" priority="2" operator="lessThan" id="{4709F8FE-103F-4035-94DC-68BC7F069ECE}">
            <xm:f>Summary!$N$22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H6:H27</xm:sqref>
        </x14:conditionalFormatting>
        <x14:conditionalFormatting xmlns:xm="http://schemas.microsoft.com/office/excel/2006/main" pivot="1">
          <x14:cfRule type="cellIs" priority="1" operator="between" id="{A5B748BA-0DB0-48F9-AF44-0E7AAB4DE1E7}">
            <xm:f>Summary!$N$20</xm:f>
            <xm:f>Summary!$N$22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H6:H27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0"/>
  <sheetViews>
    <sheetView topLeftCell="D1" workbookViewId="0">
      <selection activeCell="P42" sqref="P42"/>
    </sheetView>
  </sheetViews>
  <sheetFormatPr defaultRowHeight="12.75" x14ac:dyDescent="0.2"/>
  <cols>
    <col min="1" max="1" width="11" bestFit="1" customWidth="1"/>
    <col min="2" max="2" width="90.5703125" bestFit="1" customWidth="1"/>
    <col min="3" max="3" width="41" bestFit="1" customWidth="1"/>
    <col min="4" max="6" width="14" style="195" bestFit="1" customWidth="1"/>
    <col min="7" max="7" width="15.85546875" style="195" bestFit="1" customWidth="1"/>
    <col min="8" max="14" width="14" style="195" bestFit="1" customWidth="1"/>
    <col min="15" max="16" width="11.28515625" style="195" bestFit="1" customWidth="1"/>
    <col min="17" max="17" width="14" style="195" bestFit="1" customWidth="1"/>
    <col min="18" max="18" width="11.28515625" style="195" bestFit="1" customWidth="1"/>
  </cols>
  <sheetData>
    <row r="2" spans="1:18" s="197" customFormat="1" x14ac:dyDescent="0.2">
      <c r="B2" s="197">
        <v>1</v>
      </c>
      <c r="C2" s="197">
        <v>2</v>
      </c>
      <c r="D2" s="197">
        <v>3</v>
      </c>
      <c r="E2" s="197">
        <v>4</v>
      </c>
      <c r="F2" s="197">
        <v>5</v>
      </c>
      <c r="G2" s="197">
        <v>6</v>
      </c>
      <c r="H2" s="197">
        <v>7</v>
      </c>
      <c r="I2" s="197">
        <f>+H2+1</f>
        <v>8</v>
      </c>
      <c r="J2" s="197">
        <f t="shared" ref="J2:Q2" si="0">+I2+1</f>
        <v>9</v>
      </c>
      <c r="K2" s="197">
        <f t="shared" si="0"/>
        <v>10</v>
      </c>
      <c r="L2" s="197">
        <f t="shared" si="0"/>
        <v>11</v>
      </c>
      <c r="M2" s="197">
        <f t="shared" si="0"/>
        <v>12</v>
      </c>
      <c r="N2" s="197">
        <f t="shared" si="0"/>
        <v>13</v>
      </c>
      <c r="O2" s="197">
        <f t="shared" si="0"/>
        <v>14</v>
      </c>
      <c r="P2" s="197">
        <f t="shared" si="0"/>
        <v>15</v>
      </c>
      <c r="Q2" s="197">
        <f t="shared" si="0"/>
        <v>16</v>
      </c>
      <c r="R2" s="197">
        <f t="shared" ref="R2" si="1">+Q2+1</f>
        <v>17</v>
      </c>
    </row>
    <row r="3" spans="1:18" x14ac:dyDescent="0.2">
      <c r="B3" t="s">
        <v>1</v>
      </c>
      <c r="C3" t="s">
        <v>0</v>
      </c>
      <c r="D3" s="195" t="s">
        <v>140</v>
      </c>
      <c r="E3" s="195" t="s">
        <v>141</v>
      </c>
      <c r="F3" s="195" t="s">
        <v>128</v>
      </c>
      <c r="G3" s="195" t="s">
        <v>129</v>
      </c>
      <c r="H3" s="195" t="s">
        <v>130</v>
      </c>
      <c r="I3" s="195" t="s">
        <v>137</v>
      </c>
      <c r="J3" s="195" t="s">
        <v>138</v>
      </c>
      <c r="K3" s="195" t="s">
        <v>139</v>
      </c>
      <c r="L3" s="195" t="s">
        <v>142</v>
      </c>
      <c r="M3" s="195" t="s">
        <v>143</v>
      </c>
      <c r="N3" s="195" t="s">
        <v>148</v>
      </c>
      <c r="O3" s="195" t="s">
        <v>146</v>
      </c>
      <c r="P3" s="195" t="s">
        <v>147</v>
      </c>
      <c r="Q3" s="195" t="s">
        <v>144</v>
      </c>
      <c r="R3" s="195" t="s">
        <v>145</v>
      </c>
    </row>
    <row r="4" spans="1:18" x14ac:dyDescent="0.2">
      <c r="A4" t="s">
        <v>97</v>
      </c>
      <c r="B4" t="s">
        <v>47</v>
      </c>
      <c r="C4" t="s">
        <v>24</v>
      </c>
      <c r="D4" s="196">
        <f>+VLOOKUP($B4,[1]Summary!$C$6:$K$27,8,FALSE)</f>
        <v>392109</v>
      </c>
      <c r="E4" s="196">
        <f>+VLOOKUP($B4,[2]Summary!$C$6:$K$27,8,FALSE)</f>
        <v>392109</v>
      </c>
      <c r="F4" s="196">
        <f>+VLOOKUP($B4,[3]Summary!$C$6:$K$27,8,FALSE)</f>
        <v>392109</v>
      </c>
      <c r="G4" s="196">
        <f>+VLOOKUP($B4,[4]Summary!$C$6:$K$27,8,FALSE)</f>
        <v>392109</v>
      </c>
      <c r="H4" s="196">
        <f>+VLOOKUP($B4,[5]Summary!$C$6:$K$27,8,FALSE)</f>
        <v>392109</v>
      </c>
      <c r="I4" s="196">
        <f>+VLOOKUP($B4,[6]Summary!$C$6:$K$27,8,FALSE)</f>
        <v>392109</v>
      </c>
      <c r="J4" s="196">
        <f>+VLOOKUP($B4,[7]Summary!$C$6:$K$27,8,FALSE)</f>
        <v>360000</v>
      </c>
      <c r="K4" s="196">
        <f>+VLOOKUP($B4,[8]Summary!$C$6:$K$27,8,FALSE)</f>
        <v>392109</v>
      </c>
      <c r="L4" s="196">
        <f>+VLOOKUP($B4,[9]Summary!$C$6:$K$27,8,FALSE)</f>
        <v>392109</v>
      </c>
      <c r="M4" s="196">
        <f>+VLOOKUP($B4,[10]Summary!$C$6:$K$27,8,FALSE)</f>
        <v>392109</v>
      </c>
      <c r="N4" s="196">
        <f>+VLOOKUP($B4,[11]Summary!$C$6:$K$27,8,FALSE)</f>
        <v>333293</v>
      </c>
    </row>
    <row r="5" spans="1:18" x14ac:dyDescent="0.2">
      <c r="B5" t="s">
        <v>45</v>
      </c>
      <c r="C5" t="s">
        <v>24</v>
      </c>
      <c r="D5" s="196">
        <f>+VLOOKUP($B5,[1]Summary!$C$6:$K$27,8,FALSE)</f>
        <v>529389</v>
      </c>
      <c r="E5" s="196">
        <f>+VLOOKUP($B5,[2]Summary!$C$6:$K$27,8,FALSE)</f>
        <v>529389</v>
      </c>
      <c r="F5" s="196">
        <f>+VLOOKUP($B5,[3]Summary!$C$6:$K$27,8,FALSE)</f>
        <v>529389</v>
      </c>
      <c r="G5" s="196">
        <f>+VLOOKUP($B5,[4]Summary!$C$6:$K$27,8,FALSE)</f>
        <v>529389</v>
      </c>
      <c r="H5" s="196">
        <f>+VLOOKUP($B5,[5]Summary!$C$6:$K$27,8,FALSE)</f>
        <v>529389</v>
      </c>
      <c r="I5" s="196">
        <f>+VLOOKUP($B5,[6]Summary!$C$6:$K$27,8,FALSE)</f>
        <v>529389</v>
      </c>
      <c r="J5" s="196">
        <f>+VLOOKUP($B5,[7]Summary!$C$6:$K$27,8,FALSE)</f>
        <v>492253</v>
      </c>
      <c r="K5" s="196">
        <f>+VLOOKUP($B5,[8]Summary!$C$6:$K$27,8,FALSE)</f>
        <v>529389</v>
      </c>
      <c r="L5" s="196">
        <f>+VLOOKUP($B5,[9]Summary!$C$6:$K$27,8,FALSE)</f>
        <v>529389</v>
      </c>
      <c r="M5" s="196">
        <f>+VLOOKUP($B5,[10]Summary!$C$6:$K$27,8,FALSE)</f>
        <v>529389</v>
      </c>
      <c r="N5" s="196">
        <f>+VLOOKUP($B5,[11]Summary!$C$6:$K$27,8,FALSE)</f>
        <v>449981</v>
      </c>
    </row>
    <row r="6" spans="1:18" x14ac:dyDescent="0.2">
      <c r="B6" t="s">
        <v>62</v>
      </c>
      <c r="C6" t="s">
        <v>43</v>
      </c>
      <c r="D6" s="196">
        <f>+VLOOKUP($B6,[1]Summary!$C$6:$K$27,8,FALSE)</f>
        <v>179483</v>
      </c>
      <c r="E6" s="196">
        <f>+VLOOKUP($B6,[2]Summary!$C$6:$K$27,8,FALSE)</f>
        <v>179483</v>
      </c>
      <c r="F6" s="196">
        <f>+VLOOKUP($B6,[3]Summary!$C$6:$K$27,8,FALSE)</f>
        <v>179483</v>
      </c>
      <c r="G6" s="196">
        <f>+VLOOKUP($B6,[4]Summary!$C$6:$K$27,8,FALSE)</f>
        <v>179483</v>
      </c>
      <c r="H6" s="196">
        <f>+VLOOKUP($B6,[5]Summary!$C$6:$K$27,8,FALSE)</f>
        <v>179483</v>
      </c>
      <c r="I6" s="196">
        <f>+VLOOKUP($B6,[6]Summary!$C$6:$K$27,8,FALSE)</f>
        <v>179483</v>
      </c>
      <c r="J6" s="196">
        <f>+VLOOKUP($B6,[7]Summary!$C$6:$K$27,8,FALSE)</f>
        <v>160000</v>
      </c>
      <c r="K6" s="196">
        <f>+VLOOKUP($B6,[8]Summary!$C$6:$K$27,8,FALSE)</f>
        <v>179483</v>
      </c>
      <c r="L6" s="196">
        <f>+VLOOKUP($B6,[9]Summary!$C$6:$K$27,8,FALSE)</f>
        <v>179483</v>
      </c>
      <c r="M6" s="196">
        <f>+VLOOKUP($B6,[10]Summary!$C$6:$K$27,8,FALSE)</f>
        <v>179483</v>
      </c>
      <c r="N6" s="196">
        <f>+VLOOKUP($B6,[11]Summary!$C$6:$K$27,8,FALSE)</f>
        <v>152561</v>
      </c>
    </row>
    <row r="7" spans="1:18" x14ac:dyDescent="0.2">
      <c r="B7" t="s">
        <v>25</v>
      </c>
      <c r="C7" t="s">
        <v>24</v>
      </c>
      <c r="D7" s="196">
        <f>+VLOOKUP($B7,[1]Summary!$C$6:$K$27,8,FALSE)</f>
        <v>4999</v>
      </c>
      <c r="E7" s="196">
        <f>+VLOOKUP($B7,[2]Summary!$C$6:$K$27,8,FALSE)</f>
        <v>4999</v>
      </c>
      <c r="F7" s="196">
        <f>+VLOOKUP($B7,[3]Summary!$C$6:$K$27,8,FALSE)</f>
        <v>4999</v>
      </c>
      <c r="G7" s="196">
        <f>+VLOOKUP($B7,[4]Summary!$C$6:$K$27,8,FALSE)</f>
        <v>4999.3399999999983</v>
      </c>
      <c r="H7" s="196">
        <f>+VLOOKUP($B7,[5]Summary!$C$6:$K$27,8,FALSE)</f>
        <v>4999</v>
      </c>
      <c r="I7" s="196">
        <f>+VLOOKUP($B7,[6]Summary!$C$6:$K$27,8,FALSE)</f>
        <v>4999</v>
      </c>
      <c r="J7" s="196">
        <f>+VLOOKUP($B7,[7]Summary!$C$6:$K$27,8,FALSE)</f>
        <v>4999.3399999999983</v>
      </c>
      <c r="K7" s="196">
        <f>+VLOOKUP($B7,[8]Summary!$C$6:$K$27,8,FALSE)</f>
        <v>4999</v>
      </c>
      <c r="L7" s="196">
        <f>+VLOOKUP($B7,[9]Summary!$C$6:$K$27,8,FALSE)</f>
        <v>4999</v>
      </c>
      <c r="M7" s="196">
        <f>+VLOOKUP($B7,[10]Summary!$C$6:$K$27,8,FALSE)</f>
        <v>4999</v>
      </c>
      <c r="N7" s="196">
        <f>+VLOOKUP($B7,[11]Summary!$C$6:$K$27,8,FALSE)</f>
        <v>4249</v>
      </c>
    </row>
    <row r="8" spans="1:18" x14ac:dyDescent="0.2">
      <c r="B8" t="s">
        <v>63</v>
      </c>
      <c r="C8" t="s">
        <v>43</v>
      </c>
      <c r="D8" s="196">
        <f>+VLOOKUP($B8,[1]Summary!$C$6:$K$27,8,FALSE)</f>
        <v>28926</v>
      </c>
      <c r="E8" s="196">
        <f>+VLOOKUP($B8,[2]Summary!$C$6:$K$27,8,FALSE)</f>
        <v>28926</v>
      </c>
      <c r="F8" s="196">
        <f>+VLOOKUP($B8,[3]Summary!$C$6:$K$27,8,FALSE)</f>
        <v>28926</v>
      </c>
      <c r="G8" s="196">
        <f>+VLOOKUP($B8,[4]Summary!$C$6:$K$27,8,FALSE)</f>
        <v>28926</v>
      </c>
      <c r="H8" s="196">
        <f>+VLOOKUP($B8,[5]Summary!$C$6:$K$27,8,FALSE)</f>
        <v>28926</v>
      </c>
      <c r="I8" s="196">
        <f>+VLOOKUP($B8,[6]Summary!$C$6:$K$27,8,FALSE)</f>
        <v>28926</v>
      </c>
      <c r="J8" s="196">
        <f>+VLOOKUP($B8,[7]Summary!$C$6:$K$27,8,FALSE)</f>
        <v>28926</v>
      </c>
      <c r="K8" s="196">
        <f>+VLOOKUP($B8,[8]Summary!$C$6:$K$27,8,FALSE)</f>
        <v>28926</v>
      </c>
      <c r="L8" s="196">
        <f>+VLOOKUP($B8,[9]Summary!$C$6:$K$27,8,FALSE)</f>
        <v>28926</v>
      </c>
      <c r="M8" s="196">
        <f>+VLOOKUP($B8,[10]Summary!$C$6:$K$27,8,FALSE)</f>
        <v>28926</v>
      </c>
      <c r="N8" s="196">
        <f>+VLOOKUP($B8,[11]Summary!$C$6:$K$27,8,FALSE)</f>
        <v>24587</v>
      </c>
    </row>
    <row r="9" spans="1:18" x14ac:dyDescent="0.2">
      <c r="B9" t="s">
        <v>19</v>
      </c>
      <c r="C9" t="s">
        <v>18</v>
      </c>
      <c r="D9" s="196">
        <f>+VLOOKUP($B9,[1]Summary!$C$6:$K$27,8,FALSE)</f>
        <v>36000</v>
      </c>
      <c r="E9" s="196">
        <f>+VLOOKUP($B9,[2]Summary!$C$6:$K$27,8,FALSE)</f>
        <v>36000</v>
      </c>
      <c r="F9" s="196">
        <f>+VLOOKUP($B9,[3]Summary!$C$6:$K$27,8,FALSE)</f>
        <v>36000</v>
      </c>
      <c r="G9" s="196">
        <f>+VLOOKUP($B9,[4]Summary!$C$6:$K$27,8,FALSE)</f>
        <v>36000</v>
      </c>
      <c r="H9" s="196">
        <f>+VLOOKUP($B9,[5]Summary!$C$6:$K$27,8,FALSE)</f>
        <v>36000</v>
      </c>
      <c r="I9" s="196">
        <f>+VLOOKUP($B9,[6]Summary!$C$6:$K$27,8,FALSE)</f>
        <v>36000</v>
      </c>
      <c r="J9" s="196">
        <f>+VLOOKUP($B9,[7]Summary!$C$6:$K$27,8,FALSE)</f>
        <v>36000</v>
      </c>
      <c r="K9" s="196">
        <f>+VLOOKUP($B9,[8]Summary!$C$6:$K$27,8,FALSE)</f>
        <v>36000</v>
      </c>
      <c r="L9" s="196">
        <f>+VLOOKUP($B9,[9]Summary!$C$6:$K$27,8,FALSE)</f>
        <v>36000</v>
      </c>
      <c r="M9" s="196">
        <f>+VLOOKUP($B9,[10]Summary!$C$6:$K$27,8,FALSE)</f>
        <v>36000</v>
      </c>
      <c r="N9" s="196">
        <f>+VLOOKUP($B9,[11]Summary!$C$6:$K$27,8,FALSE)</f>
        <v>30600</v>
      </c>
    </row>
    <row r="10" spans="1:18" x14ac:dyDescent="0.2">
      <c r="B10" t="s">
        <v>39</v>
      </c>
      <c r="C10" t="s">
        <v>38</v>
      </c>
      <c r="D10" s="196">
        <f>+VLOOKUP($B10,[1]Summary!$C$6:$K$27,8,FALSE)</f>
        <v>300000</v>
      </c>
      <c r="E10" s="196">
        <f>+VLOOKUP($B10,[2]Summary!$C$6:$K$27,8,FALSE)</f>
        <v>375000</v>
      </c>
      <c r="F10" s="196">
        <f>+VLOOKUP($B10,[3]Summary!$C$6:$K$27,8,FALSE)</f>
        <v>375000</v>
      </c>
      <c r="G10" s="196">
        <f>+VLOOKUP($B10,[4]Summary!$C$6:$K$27,8,FALSE)</f>
        <v>375000</v>
      </c>
      <c r="H10" s="196">
        <f>+VLOOKUP($B10,[5]Summary!$C$6:$K$27,8,FALSE)</f>
        <v>375000</v>
      </c>
      <c r="I10" s="196">
        <f>+VLOOKUP($B10,[6]Summary!$C$6:$K$27,8,FALSE)</f>
        <v>375000</v>
      </c>
      <c r="J10" s="196">
        <f>+VLOOKUP($B10,[7]Summary!$C$6:$K$27,8,FALSE)</f>
        <v>360000</v>
      </c>
      <c r="K10" s="196">
        <f>+VLOOKUP($B10,[8]Summary!$C$6:$K$27,8,FALSE)</f>
        <v>375000</v>
      </c>
      <c r="L10" s="196">
        <f>+VLOOKUP($B10,[9]Summary!$C$6:$K$27,8,FALSE)</f>
        <v>375000</v>
      </c>
      <c r="M10" s="196">
        <f>+VLOOKUP($B10,[10]Summary!$C$6:$K$27,8,FALSE)</f>
        <v>375000</v>
      </c>
      <c r="N10" s="196">
        <f>+VLOOKUP($B10,[11]Summary!$C$6:$K$27,8,FALSE)</f>
        <v>315000</v>
      </c>
    </row>
    <row r="11" spans="1:18" x14ac:dyDescent="0.2">
      <c r="B11" t="s">
        <v>60</v>
      </c>
      <c r="C11" t="s">
        <v>16</v>
      </c>
      <c r="D11" s="196">
        <f>+VLOOKUP($B11,[1]Summary!$C$6:$K$27,8,FALSE)</f>
        <v>143160</v>
      </c>
      <c r="E11" s="196">
        <f>+VLOOKUP($B11,[2]Summary!$C$6:$K$27,8,FALSE)</f>
        <v>143160</v>
      </c>
      <c r="F11" s="196">
        <f>+VLOOKUP($B11,[3]Summary!$C$6:$K$27,8,FALSE)</f>
        <v>143160</v>
      </c>
      <c r="G11" s="196">
        <f>+VLOOKUP($B11,[4]Summary!$C$6:$K$27,8,FALSE)</f>
        <v>143160</v>
      </c>
      <c r="H11" s="196">
        <f>+VLOOKUP($B11,[5]Summary!$C$6:$K$27,8,FALSE)</f>
        <v>143160</v>
      </c>
      <c r="I11" s="196">
        <f>+VLOOKUP($B11,[6]Summary!$C$6:$K$27,8,FALSE)</f>
        <v>143160</v>
      </c>
      <c r="J11" s="196">
        <f>+VLOOKUP($B11,[7]Summary!$C$6:$K$27,8,FALSE)</f>
        <v>115000</v>
      </c>
      <c r="K11" s="196">
        <f>+VLOOKUP($B11,[8]Summary!$C$6:$K$27,8,FALSE)</f>
        <v>143160</v>
      </c>
      <c r="L11" s="196">
        <f>+VLOOKUP($B11,[9]Summary!$C$6:$K$27,8,FALSE)</f>
        <v>143160</v>
      </c>
      <c r="M11" s="196">
        <f>+VLOOKUP($B11,[10]Summary!$C$6:$K$27,8,FALSE)</f>
        <v>143160</v>
      </c>
      <c r="N11" s="196">
        <f>+VLOOKUP($B11,[11]Summary!$C$6:$K$27,8,FALSE)</f>
        <v>121686</v>
      </c>
    </row>
    <row r="12" spans="1:18" x14ac:dyDescent="0.2">
      <c r="B12" t="s">
        <v>40</v>
      </c>
      <c r="C12" t="s">
        <v>24</v>
      </c>
      <c r="D12" s="196">
        <f>+VLOOKUP($B12,[1]Summary!$C$6:$K$27,8,FALSE)</f>
        <v>138262</v>
      </c>
      <c r="E12" s="196">
        <f>+VLOOKUP($B12,[2]Summary!$C$6:$K$27,8,FALSE)</f>
        <v>138262</v>
      </c>
      <c r="F12" s="196">
        <f>+VLOOKUP($B12,[3]Summary!$C$6:$K$27,8,FALSE)</f>
        <v>138262</v>
      </c>
      <c r="G12" s="196">
        <f>+VLOOKUP($B12,[4]Summary!$C$6:$K$27,8,FALSE)</f>
        <v>138262</v>
      </c>
      <c r="H12" s="196">
        <f>+VLOOKUP($B12,[5]Summary!$C$6:$K$27,8,FALSE)</f>
        <v>138262</v>
      </c>
      <c r="I12" s="196">
        <f>+VLOOKUP($B12,[6]Summary!$C$6:$K$27,8,FALSE)</f>
        <v>138262</v>
      </c>
      <c r="J12" s="196">
        <f>+VLOOKUP($B12,[7]Summary!$C$6:$K$27,8,FALSE)</f>
        <v>138262</v>
      </c>
      <c r="K12" s="196">
        <f>+VLOOKUP($B12,[8]Summary!$C$6:$K$27,8,FALSE)</f>
        <v>138262</v>
      </c>
      <c r="L12" s="196">
        <f>+VLOOKUP($B12,[9]Summary!$C$6:$K$27,8,FALSE)</f>
        <v>138262</v>
      </c>
      <c r="M12" s="196">
        <f>+VLOOKUP($B12,[10]Summary!$C$6:$K$27,8,FALSE)</f>
        <v>138262</v>
      </c>
      <c r="N12" s="196">
        <f>+VLOOKUP($B12,[11]Summary!$C$6:$K$27,8,FALSE)</f>
        <v>110610</v>
      </c>
    </row>
    <row r="13" spans="1:18" x14ac:dyDescent="0.2">
      <c r="B13" t="s">
        <v>61</v>
      </c>
      <c r="C13" t="s">
        <v>43</v>
      </c>
      <c r="D13" s="196">
        <f>+VLOOKUP($B13,[1]Summary!$C$6:$K$27,8,FALSE)</f>
        <v>125000</v>
      </c>
      <c r="E13" s="196">
        <f>+VLOOKUP($B13,[2]Summary!$C$6:$K$27,8,FALSE)</f>
        <v>153000</v>
      </c>
      <c r="F13" s="196">
        <f>+VLOOKUP($B13,[3]Summary!$C$6:$K$27,8,FALSE)</f>
        <v>153000</v>
      </c>
      <c r="G13" s="196">
        <f>+VLOOKUP($B13,[4]Summary!$C$6:$K$27,8,FALSE)</f>
        <v>153000</v>
      </c>
      <c r="H13" s="196">
        <f>+VLOOKUP($B13,[5]Summary!$C$6:$K$27,8,FALSE)</f>
        <v>153000</v>
      </c>
      <c r="I13" s="196">
        <f>+VLOOKUP($B13,[6]Summary!$C$6:$K$27,8,FALSE)</f>
        <v>141804</v>
      </c>
      <c r="J13" s="196">
        <f>+VLOOKUP($B13,[7]Summary!$C$6:$K$27,8,FALSE)</f>
        <v>125000</v>
      </c>
      <c r="K13" s="196">
        <f>+VLOOKUP($B13,[8]Summary!$C$6:$K$27,8,FALSE)</f>
        <v>153000</v>
      </c>
      <c r="L13" s="196">
        <f>+VLOOKUP($B13,[9]Summary!$C$6:$K$27,8,FALSE)</f>
        <v>153000</v>
      </c>
      <c r="M13" s="196">
        <f>+VLOOKUP($B13,[10]Summary!$C$6:$K$27,8,FALSE)</f>
        <v>153000</v>
      </c>
      <c r="N13" s="196">
        <f>+VLOOKUP($B13,[11]Summary!$C$6:$K$27,8,FALSE)</f>
        <v>119135</v>
      </c>
    </row>
    <row r="14" spans="1:18" x14ac:dyDescent="0.2">
      <c r="B14" t="s">
        <v>33</v>
      </c>
      <c r="C14" t="s">
        <v>32</v>
      </c>
      <c r="D14" s="196">
        <f>+VLOOKUP($B14,[1]Summary!$C$6:$K$27,8,FALSE)</f>
        <v>125000</v>
      </c>
      <c r="E14" s="196">
        <f>+VLOOKUP($B14,[2]Summary!$C$6:$K$27,8,FALSE)</f>
        <v>204140</v>
      </c>
      <c r="F14" s="196">
        <f>+VLOOKUP($B14,[3]Summary!$C$6:$K$27,8,FALSE)</f>
        <v>53476</v>
      </c>
      <c r="G14" s="196">
        <f>+VLOOKUP($B14,[4]Summary!$C$6:$K$27,8,FALSE)</f>
        <v>204140.29</v>
      </c>
      <c r="H14" s="196">
        <f>+VLOOKUP($B14,[5]Summary!$C$6:$K$27,8,FALSE)</f>
        <v>204140</v>
      </c>
      <c r="I14" s="196">
        <f>+VLOOKUP($B14,[6]Summary!$C$6:$K$27,8,FALSE)</f>
        <v>204140</v>
      </c>
      <c r="J14" s="196">
        <f>+VLOOKUP($B14,[7]Summary!$C$6:$K$27,8,FALSE)</f>
        <v>175000</v>
      </c>
      <c r="K14" s="196">
        <f>+VLOOKUP($B14,[8]Summary!$C$6:$K$27,8,FALSE)</f>
        <v>204140</v>
      </c>
      <c r="L14" s="196">
        <f>+VLOOKUP($B14,[9]Summary!$C$6:$K$27,8,FALSE)</f>
        <v>204140</v>
      </c>
      <c r="M14" s="196">
        <f>+VLOOKUP($B14,[10]Summary!$C$6:$K$27,8,FALSE)</f>
        <v>204140</v>
      </c>
      <c r="N14" s="196">
        <f>+VLOOKUP($B14,[11]Summary!$C$6:$K$27,8,FALSE)</f>
        <v>171478</v>
      </c>
    </row>
    <row r="15" spans="1:18" x14ac:dyDescent="0.2">
      <c r="B15" t="s">
        <v>42</v>
      </c>
      <c r="C15" t="s">
        <v>41</v>
      </c>
      <c r="D15" s="196">
        <f>+VLOOKUP($B15,[1]Summary!$C$6:$K$27,8,FALSE)</f>
        <v>500000</v>
      </c>
      <c r="E15" s="196">
        <f>+VLOOKUP($B15,[2]Summary!$C$6:$K$27,8,FALSE)</f>
        <v>830972</v>
      </c>
      <c r="F15" s="196">
        <f>+VLOOKUP($B15,[3]Summary!$C$6:$K$27,8,FALSE)</f>
        <v>500000</v>
      </c>
      <c r="G15" s="196">
        <f>+VLOOKUP($B15,[4]Summary!$C$6:$K$27,8,FALSE)</f>
        <v>0</v>
      </c>
      <c r="H15" s="196">
        <f>+VLOOKUP($B15,[5]Summary!$C$6:$K$27,8,FALSE)</f>
        <v>500000</v>
      </c>
      <c r="I15" s="196">
        <f>+VLOOKUP($B15,[6]Summary!$C$6:$K$27,8,FALSE)</f>
        <v>500000</v>
      </c>
      <c r="J15" s="196">
        <f>+VLOOKUP($B15,[7]Summary!$C$6:$K$27,8,FALSE)</f>
        <v>350000</v>
      </c>
      <c r="K15" s="196">
        <f>+VLOOKUP($B15,[8]Summary!$C$6:$K$27,8,FALSE)</f>
        <v>200000</v>
      </c>
      <c r="L15" s="196">
        <f>+VLOOKUP($B15,[9]Summary!$C$6:$K$27,8,FALSE)</f>
        <v>500000</v>
      </c>
      <c r="M15" s="196">
        <f>+VLOOKUP($B15,[10]Summary!$C$6:$K$27,8,FALSE)</f>
        <v>500000</v>
      </c>
      <c r="N15" s="196">
        <f>+VLOOKUP($B15,[11]Summary!$C$6:$K$27,8,FALSE)</f>
        <v>670000</v>
      </c>
    </row>
    <row r="16" spans="1:18" x14ac:dyDescent="0.2">
      <c r="B16" t="s">
        <v>50</v>
      </c>
      <c r="C16" t="s">
        <v>59</v>
      </c>
      <c r="D16" s="196">
        <f>+VLOOKUP($B16,[1]Summary!$C$6:$K$27,8,FALSE)</f>
        <v>30000</v>
      </c>
      <c r="E16" s="196">
        <f>+VLOOKUP($B16,[2]Summary!$C$6:$K$27,8,FALSE)</f>
        <v>30000</v>
      </c>
      <c r="F16" s="196">
        <f>+VLOOKUP($B16,[3]Summary!$C$6:$K$27,8,FALSE)</f>
        <v>30000</v>
      </c>
      <c r="G16" s="196">
        <f>+VLOOKUP($B16,[4]Summary!$C$6:$K$27,8,FALSE)</f>
        <v>30000</v>
      </c>
      <c r="H16" s="196">
        <f>+VLOOKUP($B16,[5]Summary!$C$6:$K$27,8,FALSE)</f>
        <v>30000</v>
      </c>
      <c r="I16" s="196">
        <f>+VLOOKUP($B16,[6]Summary!$C$6:$K$27,8,FALSE)</f>
        <v>15000</v>
      </c>
      <c r="J16" s="196">
        <f>+VLOOKUP($B16,[7]Summary!$C$6:$K$27,8,FALSE)</f>
        <v>20000</v>
      </c>
      <c r="K16" s="196">
        <f>+VLOOKUP($B16,[8]Summary!$C$6:$K$27,8,FALSE)</f>
        <v>30000</v>
      </c>
      <c r="L16" s="196">
        <f>+VLOOKUP($B16,[9]Summary!$C$6:$K$27,8,FALSE)</f>
        <v>30000</v>
      </c>
      <c r="M16" s="196">
        <f>+VLOOKUP($B16,[10]Summary!$C$6:$K$27,8,FALSE)</f>
        <v>30000</v>
      </c>
      <c r="N16" s="196">
        <f>+VLOOKUP($B16,[11]Summary!$C$6:$K$27,8,FALSE)</f>
        <v>24900</v>
      </c>
    </row>
    <row r="17" spans="1:18" x14ac:dyDescent="0.2">
      <c r="B17" t="s">
        <v>37</v>
      </c>
      <c r="C17" t="s">
        <v>36</v>
      </c>
      <c r="D17" s="196">
        <f>+VLOOKUP($B17,[1]Summary!$C$6:$K$27,8,FALSE)</f>
        <v>38000</v>
      </c>
      <c r="E17" s="196">
        <f>+VLOOKUP($B17,[2]Summary!$C$6:$K$27,8,FALSE)</f>
        <v>0</v>
      </c>
      <c r="F17" s="196">
        <f>+VLOOKUP($B17,[3]Summary!$C$6:$K$27,8,FALSE)</f>
        <v>0</v>
      </c>
      <c r="G17" s="196">
        <f>+VLOOKUP($B17,[4]Summary!$C$6:$K$27,8,FALSE)</f>
        <v>73140</v>
      </c>
      <c r="H17" s="196">
        <f>+VLOOKUP($B17,[5]Summary!$C$6:$K$27,8,FALSE)</f>
        <v>73140</v>
      </c>
      <c r="I17" s="196">
        <f>+VLOOKUP($B17,[6]Summary!$C$6:$K$27,8,FALSE)</f>
        <v>73140</v>
      </c>
      <c r="J17" s="196">
        <f>+VLOOKUP($B17,[7]Summary!$C$6:$K$27,8,FALSE)</f>
        <v>40000</v>
      </c>
      <c r="K17" s="196">
        <f>+VLOOKUP($B17,[8]Summary!$C$6:$K$27,8,FALSE)</f>
        <v>73140</v>
      </c>
      <c r="L17" s="196">
        <f>+VLOOKUP($B17,[9]Summary!$C$6:$K$27,8,FALSE)</f>
        <v>73140</v>
      </c>
      <c r="M17" s="196">
        <f>+VLOOKUP($B17,[10]Summary!$C$6:$K$27,8,FALSE)</f>
        <v>73140</v>
      </c>
      <c r="N17" s="196">
        <f>+VLOOKUP($B17,[11]Summary!$C$6:$K$27,8,FALSE)</f>
        <v>60707</v>
      </c>
    </row>
    <row r="18" spans="1:18" x14ac:dyDescent="0.2">
      <c r="B18" t="s">
        <v>31</v>
      </c>
      <c r="C18" t="s">
        <v>56</v>
      </c>
      <c r="D18" s="196">
        <f>+VLOOKUP($B18,[1]Summary!$C$6:$K$27,8,FALSE)</f>
        <v>150000</v>
      </c>
      <c r="E18" s="196">
        <f>+VLOOKUP($B18,[2]Summary!$C$6:$K$27,8,FALSE)</f>
        <v>0</v>
      </c>
      <c r="F18" s="196">
        <f>+VLOOKUP($B18,[3]Summary!$C$6:$K$27,8,FALSE)</f>
        <v>0</v>
      </c>
      <c r="G18" s="196">
        <f>+VLOOKUP($B18,[4]Summary!$C$6:$K$27,8,FALSE)</f>
        <v>173000</v>
      </c>
      <c r="H18" s="196">
        <f>+VLOOKUP($B18,[5]Summary!$C$6:$K$27,8,FALSE)</f>
        <v>173000</v>
      </c>
      <c r="I18" s="196">
        <f>+VLOOKUP($B18,[6]Summary!$C$6:$K$27,8,FALSE)</f>
        <v>173000</v>
      </c>
      <c r="J18" s="196">
        <f>+VLOOKUP($B18,[7]Summary!$C$6:$K$27,8,FALSE)</f>
        <v>90000</v>
      </c>
      <c r="K18" s="196">
        <f>+VLOOKUP($B18,[8]Summary!$C$6:$K$27,8,FALSE)</f>
        <v>140000</v>
      </c>
      <c r="L18" s="196">
        <f>+VLOOKUP($B18,[9]Summary!$C$6:$K$27,8,FALSE)</f>
        <v>173000</v>
      </c>
      <c r="M18" s="196">
        <f>+VLOOKUP($B18,[10]Summary!$C$6:$K$27,8,FALSE)</f>
        <v>173000</v>
      </c>
      <c r="N18" s="196">
        <f>+VLOOKUP($B18,[11]Summary!$C$6:$K$27,8,FALSE)</f>
        <v>143590</v>
      </c>
    </row>
    <row r="19" spans="1:18" x14ac:dyDescent="0.2">
      <c r="B19" t="s">
        <v>12</v>
      </c>
      <c r="C19" t="s">
        <v>11</v>
      </c>
      <c r="D19" s="196">
        <f>+VLOOKUP($B19,[1]Summary!$C$6:$K$27,8,FALSE)</f>
        <v>0</v>
      </c>
      <c r="E19" s="196">
        <f>+VLOOKUP($B19,[2]Summary!$C$6:$K$27,8,FALSE)</f>
        <v>0</v>
      </c>
      <c r="F19" s="196">
        <f>+VLOOKUP($B19,[3]Summary!$C$6:$K$27,8,FALSE)</f>
        <v>0</v>
      </c>
      <c r="G19" s="196">
        <f>+VLOOKUP($B19,[4]Summary!$C$6:$K$27,8,FALSE)</f>
        <v>0</v>
      </c>
      <c r="H19" s="196">
        <f>+VLOOKUP($B19,[5]Summary!$C$6:$K$27,8,FALSE)</f>
        <v>0</v>
      </c>
      <c r="I19" s="196">
        <f>+VLOOKUP($B19,[6]Summary!$C$6:$K$27,8,FALSE)</f>
        <v>0</v>
      </c>
      <c r="J19" s="196">
        <f>+VLOOKUP($B19,[7]Summary!$C$6:$K$27,8,FALSE)</f>
        <v>300000</v>
      </c>
      <c r="K19" s="196">
        <f>+VLOOKUP($B19,[8]Summary!$C$6:$K$27,8,FALSE)</f>
        <v>127832</v>
      </c>
      <c r="L19" s="196">
        <f>+VLOOKUP($B19,[9]Summary!$C$6:$K$27,8,FALSE)</f>
        <v>0</v>
      </c>
      <c r="M19" s="196">
        <f>+VLOOKUP($B19,[10]Summary!$C$6:$K$27,8,FALSE)</f>
        <v>0</v>
      </c>
      <c r="N19" s="196">
        <f>+VLOOKUP($B19,[11]Summary!$C$6:$K$27,8,FALSE)</f>
        <v>0</v>
      </c>
    </row>
    <row r="20" spans="1:18" x14ac:dyDescent="0.2">
      <c r="B20" t="s">
        <v>23</v>
      </c>
      <c r="C20" t="s">
        <v>22</v>
      </c>
      <c r="D20" s="196">
        <f>+VLOOKUP($B20,[1]Summary!$C$6:$K$27,8,FALSE)</f>
        <v>50000</v>
      </c>
      <c r="E20" s="196">
        <f>+VLOOKUP($B20,[2]Summary!$C$6:$K$27,8,FALSE)</f>
        <v>0</v>
      </c>
      <c r="F20" s="196">
        <f>+VLOOKUP($B20,[3]Summary!$C$6:$K$27,8,FALSE)</f>
        <v>111028</v>
      </c>
      <c r="G20" s="196">
        <f>+VLOOKUP($B20,[4]Summary!$C$6:$K$27,8,FALSE)</f>
        <v>111028</v>
      </c>
      <c r="H20" s="196">
        <f>+VLOOKUP($B20,[5]Summary!$C$6:$K$27,8,FALSE)</f>
        <v>84832</v>
      </c>
      <c r="I20" s="196">
        <f>+VLOOKUP($B20,[6]Summary!$C$6:$K$27,8,FALSE)</f>
        <v>111028</v>
      </c>
      <c r="J20" s="196">
        <f>+VLOOKUP($B20,[7]Summary!$C$6:$K$27,8,FALSE)</f>
        <v>75000</v>
      </c>
      <c r="K20" s="196">
        <f>+VLOOKUP($B20,[8]Summary!$C$6:$K$27,8,FALSE)</f>
        <v>50000</v>
      </c>
      <c r="L20" s="196">
        <f>+VLOOKUP($B20,[9]Summary!$C$6:$K$27,8,FALSE)</f>
        <v>84832</v>
      </c>
      <c r="M20" s="196">
        <f>+VLOOKUP($B20,[10]Summary!$C$6:$K$27,8,FALSE)</f>
        <v>84832</v>
      </c>
      <c r="N20" s="196">
        <f>+VLOOKUP($B20,[11]Summary!$C$6:$K$27,8,FALSE)</f>
        <v>72168</v>
      </c>
    </row>
    <row r="21" spans="1:18" x14ac:dyDescent="0.2">
      <c r="B21" t="s">
        <v>15</v>
      </c>
      <c r="C21" t="s">
        <v>14</v>
      </c>
      <c r="D21" s="196">
        <f>+VLOOKUP($B21,[1]Summary!$C$6:$K$27,8,FALSE)</f>
        <v>118100</v>
      </c>
      <c r="E21" s="196">
        <f>+VLOOKUP($B21,[2]Summary!$C$6:$K$27,8,FALSE)</f>
        <v>0</v>
      </c>
      <c r="F21" s="196">
        <f>+VLOOKUP($B21,[3]Summary!$C$6:$K$27,8,FALSE)</f>
        <v>163100</v>
      </c>
      <c r="G21" s="196">
        <f>+VLOOKUP($B21,[4]Summary!$C$6:$K$27,8,FALSE)</f>
        <v>163100</v>
      </c>
      <c r="H21" s="196">
        <f>+VLOOKUP($B21,[5]Summary!$C$6:$K$27,8,FALSE)</f>
        <v>0</v>
      </c>
      <c r="I21" s="196">
        <f>+VLOOKUP($B21,[6]Summary!$C$6:$K$27,8,FALSE)</f>
        <v>0</v>
      </c>
      <c r="J21" s="196">
        <f>+VLOOKUP($B21,[7]Summary!$C$6:$K$27,8,FALSE)</f>
        <v>75000</v>
      </c>
      <c r="K21" s="196">
        <f>+VLOOKUP($B21,[8]Summary!$C$6:$K$27,8,FALSE)</f>
        <v>100000</v>
      </c>
      <c r="L21" s="196">
        <f>+VLOOKUP($B21,[9]Summary!$C$6:$K$27,8,FALSE)</f>
        <v>0</v>
      </c>
      <c r="M21" s="196">
        <f>+VLOOKUP($B21,[10]Summary!$C$6:$K$27,8,FALSE)</f>
        <v>0</v>
      </c>
      <c r="N21" s="196">
        <f>+VLOOKUP($B21,[11]Summary!$C$6:$K$27,8,FALSE)</f>
        <v>106015</v>
      </c>
    </row>
    <row r="22" spans="1:18" x14ac:dyDescent="0.2">
      <c r="B22" t="s">
        <v>35</v>
      </c>
      <c r="C22" t="s">
        <v>34</v>
      </c>
      <c r="D22" s="196">
        <f>+VLOOKUP($B22,[1]Summary!$C$6:$K$27,8,FALSE)</f>
        <v>70000</v>
      </c>
      <c r="E22" s="196">
        <f>+VLOOKUP($B22,[2]Summary!$C$6:$K$27,8,FALSE)</f>
        <v>0</v>
      </c>
      <c r="F22" s="196">
        <f>+VLOOKUP($B22,[3]Summary!$C$6:$K$27,8,FALSE)</f>
        <v>207508</v>
      </c>
      <c r="G22" s="196">
        <f>+VLOOKUP($B22,[4]Summary!$C$6:$K$27,8,FALSE)</f>
        <v>207508</v>
      </c>
      <c r="H22" s="196">
        <f>+VLOOKUP($B22,[5]Summary!$C$6:$K$27,8,FALSE)</f>
        <v>0</v>
      </c>
      <c r="I22" s="196">
        <f>+VLOOKUP($B22,[6]Summary!$C$6:$K$27,8,FALSE)</f>
        <v>0</v>
      </c>
      <c r="J22" s="196">
        <f>+VLOOKUP($B22,[7]Summary!$C$6:$K$27,8,FALSE)</f>
        <v>100000</v>
      </c>
      <c r="K22" s="196">
        <f>+VLOOKUP($B22,[8]Summary!$C$6:$K$27,8,FALSE)</f>
        <v>50000</v>
      </c>
      <c r="L22" s="196">
        <f>+VLOOKUP($B22,[9]Summary!$C$6:$K$27,8,FALSE)</f>
        <v>0</v>
      </c>
      <c r="M22" s="196">
        <f>+VLOOKUP($B22,[10]Summary!$C$6:$K$27,8,FALSE)</f>
        <v>0</v>
      </c>
      <c r="N22" s="196">
        <f>+VLOOKUP($B22,[11]Summary!$C$6:$K$27,8,FALSE)</f>
        <v>134880</v>
      </c>
    </row>
    <row r="23" spans="1:18" x14ac:dyDescent="0.2">
      <c r="B23" t="s">
        <v>27</v>
      </c>
      <c r="C23" t="s">
        <v>26</v>
      </c>
      <c r="D23" s="196">
        <f>+VLOOKUP($B23,[1]Summary!$C$6:$K$27,8,FALSE)</f>
        <v>31968</v>
      </c>
      <c r="E23" s="196">
        <f>+VLOOKUP($B23,[2]Summary!$C$6:$K$27,8,FALSE)</f>
        <v>0</v>
      </c>
      <c r="F23" s="196">
        <f>+VLOOKUP($B23,[3]Summary!$C$6:$K$27,8,FALSE)</f>
        <v>0</v>
      </c>
      <c r="G23" s="196">
        <f>+VLOOKUP($B23,[4]Summary!$C$6:$K$27,8,FALSE)</f>
        <v>0</v>
      </c>
      <c r="H23" s="196">
        <f>+VLOOKUP($B23,[5]Summary!$C$6:$K$27,8,FALSE)</f>
        <v>0</v>
      </c>
      <c r="I23" s="196">
        <f>+VLOOKUP($B23,[6]Summary!$C$6:$K$27,8,FALSE)</f>
        <v>0</v>
      </c>
      <c r="J23" s="196">
        <f>+VLOOKUP($B23,[7]Summary!$C$6:$K$27,8,FALSE)</f>
        <v>0</v>
      </c>
      <c r="K23" s="196">
        <f>+VLOOKUP($B23,[8]Summary!$C$6:$K$27,8,FALSE)</f>
        <v>50000</v>
      </c>
      <c r="L23" s="196">
        <f>+VLOOKUP($B23,[9]Summary!$C$6:$K$27,8,FALSE)</f>
        <v>0</v>
      </c>
      <c r="M23" s="196">
        <f>+VLOOKUP($B23,[10]Summary!$C$6:$K$27,8,FALSE)</f>
        <v>0</v>
      </c>
      <c r="N23" s="196">
        <f>+VLOOKUP($B23,[11]Summary!$C$6:$K$27,8,FALSE)</f>
        <v>0</v>
      </c>
    </row>
    <row r="24" spans="1:18" x14ac:dyDescent="0.2">
      <c r="B24" t="s">
        <v>21</v>
      </c>
      <c r="C24" t="s">
        <v>20</v>
      </c>
      <c r="D24" s="196">
        <f>+VLOOKUP($B24,[1]Summary!$C$6:$K$27,8,FALSE)</f>
        <v>45000</v>
      </c>
      <c r="E24" s="196">
        <f>+VLOOKUP($B24,[2]Summary!$C$6:$K$27,8,FALSE)</f>
        <v>0</v>
      </c>
      <c r="F24" s="196">
        <f>+VLOOKUP($B24,[3]Summary!$C$6:$K$27,8,FALSE)</f>
        <v>0</v>
      </c>
      <c r="G24" s="196">
        <f>+VLOOKUP($B24,[4]Summary!$C$6:$K$27,8,FALSE)</f>
        <v>99100</v>
      </c>
      <c r="H24" s="196">
        <f>+VLOOKUP($B24,[5]Summary!$C$6:$K$27,8,FALSE)</f>
        <v>0</v>
      </c>
      <c r="I24" s="196">
        <f>+VLOOKUP($B24,[6]Summary!$C$6:$K$27,8,FALSE)</f>
        <v>0</v>
      </c>
      <c r="J24" s="196">
        <f>+VLOOKUP($B24,[7]Summary!$C$6:$K$27,8,FALSE)</f>
        <v>0</v>
      </c>
      <c r="K24" s="196">
        <f>+VLOOKUP($B24,[8]Summary!$C$6:$K$27,8,FALSE)</f>
        <v>40000</v>
      </c>
      <c r="L24" s="196">
        <f>+VLOOKUP($B24,[9]Summary!$C$6:$K$27,8,FALSE)</f>
        <v>0</v>
      </c>
      <c r="M24" s="196">
        <f>+VLOOKUP($B24,[10]Summary!$C$6:$K$27,8,FALSE)</f>
        <v>0</v>
      </c>
      <c r="N24" s="196">
        <f>+VLOOKUP($B24,[11]Summary!$C$6:$K$27,8,FALSE)</f>
        <v>0</v>
      </c>
    </row>
    <row r="25" spans="1:18" x14ac:dyDescent="0.2">
      <c r="B25" t="s">
        <v>29</v>
      </c>
      <c r="C25" t="s">
        <v>28</v>
      </c>
      <c r="D25" s="196">
        <f>+VLOOKUP($B25,[1]Summary!$C$6:$K$27,8,FALSE)</f>
        <v>10044</v>
      </c>
      <c r="E25" s="196">
        <f>+VLOOKUP($B25,[2]Summary!$C$6:$K$27,8,FALSE)</f>
        <v>0</v>
      </c>
      <c r="F25" s="196">
        <f>+VLOOKUP($B25,[3]Summary!$C$6:$K$27,8,FALSE)</f>
        <v>0</v>
      </c>
      <c r="G25" s="196">
        <f>+VLOOKUP($B25,[4]Summary!$C$6:$K$27,8,FALSE)</f>
        <v>0</v>
      </c>
      <c r="H25" s="196">
        <f>+VLOOKUP($B25,[5]Summary!$C$6:$K$27,8,FALSE)</f>
        <v>0</v>
      </c>
      <c r="I25" s="196">
        <f>+VLOOKUP($B25,[6]Summary!$C$6:$K$27,8,FALSE)</f>
        <v>0</v>
      </c>
      <c r="J25" s="196">
        <f>+VLOOKUP($B25,[7]Summary!$C$6:$K$27,8,FALSE)</f>
        <v>0</v>
      </c>
      <c r="K25" s="196">
        <f>+VLOOKUP($B25,[8]Summary!$C$6:$K$27,8,FALSE)</f>
        <v>0</v>
      </c>
      <c r="L25" s="196">
        <f>+VLOOKUP($B25,[9]Summary!$C$6:$K$27,8,FALSE)</f>
        <v>0</v>
      </c>
      <c r="M25" s="196">
        <f>+VLOOKUP($B25,[10]Summary!$C$6:$K$27,8,FALSE)</f>
        <v>0</v>
      </c>
      <c r="N25" s="196">
        <f>+VLOOKUP($B25,[11]Summary!$C$6:$K$27,8,FALSE)</f>
        <v>0</v>
      </c>
    </row>
    <row r="26" spans="1:18" x14ac:dyDescent="0.2">
      <c r="D26" s="195">
        <f>+SUM(D4:D25)</f>
        <v>3045440</v>
      </c>
      <c r="E26" s="195">
        <f t="shared" ref="E26:I26" si="2">+SUM(E4:E25)</f>
        <v>3045440</v>
      </c>
      <c r="F26" s="195">
        <f t="shared" si="2"/>
        <v>3045440</v>
      </c>
      <c r="G26" s="195">
        <f t="shared" si="2"/>
        <v>3041344.63</v>
      </c>
      <c r="H26" s="195">
        <f t="shared" si="2"/>
        <v>3045440</v>
      </c>
      <c r="I26" s="195">
        <f t="shared" si="2"/>
        <v>3045440</v>
      </c>
      <c r="J26" s="195">
        <f t="shared" ref="J26" si="3">+SUM(J4:J25)</f>
        <v>3045440.34</v>
      </c>
      <c r="K26" s="195">
        <f t="shared" ref="K26" si="4">+SUM(K4:K25)</f>
        <v>3045440</v>
      </c>
      <c r="L26" s="195">
        <f t="shared" ref="L26" si="5">+SUM(L4:L25)</f>
        <v>3045440</v>
      </c>
      <c r="M26" s="195">
        <f t="shared" ref="M26" si="6">+SUM(M4:M25)</f>
        <v>3045440</v>
      </c>
      <c r="N26" s="195">
        <f t="shared" ref="N26" si="7">+SUM(N4:N25)</f>
        <v>3045440</v>
      </c>
      <c r="O26" s="195">
        <f t="shared" ref="O26" si="8">+SUM(O4:O25)</f>
        <v>0</v>
      </c>
      <c r="P26" s="195">
        <f t="shared" ref="P26:Q26" si="9">+SUM(P4:P25)</f>
        <v>0</v>
      </c>
      <c r="Q26" s="195">
        <f t="shared" si="9"/>
        <v>0</v>
      </c>
      <c r="R26" s="195">
        <f t="shared" ref="R26" si="10">+SUM(R4:R25)</f>
        <v>0</v>
      </c>
    </row>
    <row r="28" spans="1:18" x14ac:dyDescent="0.2">
      <c r="A28" t="s">
        <v>75</v>
      </c>
      <c r="B28" t="s">
        <v>47</v>
      </c>
      <c r="C28" t="s">
        <v>24</v>
      </c>
      <c r="D28" s="196">
        <f>+VLOOKUP($B28,[1]Summary!$C$6:$K$27,9,FALSE)</f>
        <v>250000</v>
      </c>
      <c r="E28" s="196">
        <f>+VLOOKUP($B28,[2]Summary!$C$6:$K$27,9,FALSE)</f>
        <v>392109</v>
      </c>
      <c r="F28" s="196">
        <f>+VLOOKUP($B28,[3]Summary!$C$6:$K$27,9,FALSE)</f>
        <v>392109</v>
      </c>
      <c r="G28" s="196">
        <f>+VLOOKUP($B28,[4]Summary!$C$6:$K$27,9,FALSE)</f>
        <v>392109</v>
      </c>
      <c r="H28" s="196">
        <f>+VLOOKUP($B28,[5]Summary!$C$6:$K$27,9,FALSE)</f>
        <v>392109</v>
      </c>
      <c r="I28" s="196">
        <f>+VLOOKUP($B28,[6]Summary!$C$6:$K$27,9,FALSE)</f>
        <v>297511</v>
      </c>
      <c r="J28" s="196">
        <f>+VLOOKUP($B28,[7]Summary!$C$6:$K$27,9,FALSE)</f>
        <v>300000</v>
      </c>
      <c r="K28" s="196">
        <f>+VLOOKUP($B28,[8]Summary!$C$6:$K$27,9,FALSE)</f>
        <v>350000</v>
      </c>
      <c r="L28" s="196">
        <f>+VLOOKUP($B28,[9]Summary!$C$6:$K$27,9,FALSE)</f>
        <v>392109</v>
      </c>
      <c r="M28" s="196">
        <f>+VLOOKUP($B28,[10]Summary!$C$6:$K$27,9,FALSE)</f>
        <v>392109</v>
      </c>
      <c r="N28" s="196">
        <f>+VLOOKUP($B28,[11]Summary!$C$6:$K$27,9,FALSE)</f>
        <v>240117</v>
      </c>
    </row>
    <row r="29" spans="1:18" x14ac:dyDescent="0.2">
      <c r="B29" t="s">
        <v>45</v>
      </c>
      <c r="C29" t="s">
        <v>24</v>
      </c>
      <c r="D29" s="196">
        <f>+VLOOKUP($B29,[1]Summary!$C$6:$K$27,9,FALSE)</f>
        <v>257460</v>
      </c>
      <c r="E29" s="196">
        <f>+VLOOKUP($B29,[2]Summary!$C$6:$K$27,9,FALSE)</f>
        <v>529389</v>
      </c>
      <c r="F29" s="196">
        <f>+VLOOKUP($B29,[3]Summary!$C$6:$K$27,9,FALSE)</f>
        <v>529389</v>
      </c>
      <c r="G29" s="196">
        <f>+VLOOKUP($B29,[4]Summary!$C$6:$K$27,9,FALSE)</f>
        <v>529389</v>
      </c>
      <c r="H29" s="196">
        <f>+VLOOKUP($B29,[5]Summary!$C$6:$K$27,9,FALSE)</f>
        <v>529389</v>
      </c>
      <c r="I29" s="196">
        <f>+VLOOKUP($B29,[6]Summary!$C$6:$K$27,9,FALSE)</f>
        <v>434791</v>
      </c>
      <c r="J29" s="196">
        <f>+VLOOKUP($B29,[7]Summary!$C$6:$K$27,9,FALSE)</f>
        <v>380000</v>
      </c>
      <c r="K29" s="196">
        <f>+VLOOKUP($B29,[8]Summary!$C$6:$K$27,9,FALSE)</f>
        <v>375000</v>
      </c>
      <c r="L29" s="196">
        <f>+VLOOKUP($B29,[9]Summary!$C$6:$K$27,9,FALSE)</f>
        <v>529389</v>
      </c>
      <c r="M29" s="196">
        <f>+VLOOKUP($B29,[10]Summary!$C$6:$K$27,9,FALSE)</f>
        <v>529389</v>
      </c>
      <c r="N29" s="196">
        <f>+VLOOKUP($B29,[11]Summary!$C$6:$K$27,9,FALSE)</f>
        <v>324182</v>
      </c>
    </row>
    <row r="30" spans="1:18" x14ac:dyDescent="0.2">
      <c r="B30" t="s">
        <v>62</v>
      </c>
      <c r="C30" t="s">
        <v>43</v>
      </c>
      <c r="D30" s="196">
        <f>+VLOOKUP($B30,[1]Summary!$C$6:$K$27,9,FALSE)</f>
        <v>117327</v>
      </c>
      <c r="E30" s="196">
        <f>+VLOOKUP($B30,[2]Summary!$C$6:$K$27,9,FALSE)</f>
        <v>179483</v>
      </c>
      <c r="F30" s="196">
        <f>+VLOOKUP($B30,[3]Summary!$C$6:$K$27,9,FALSE)</f>
        <v>179483</v>
      </c>
      <c r="G30" s="196">
        <f>+VLOOKUP($B30,[4]Summary!$C$6:$K$27,9,FALSE)</f>
        <v>179483</v>
      </c>
      <c r="H30" s="196">
        <f>+VLOOKUP($B30,[5]Summary!$C$6:$K$27,9,FALSE)</f>
        <v>179483</v>
      </c>
      <c r="I30" s="196">
        <f>+VLOOKUP($B30,[6]Summary!$C$6:$K$27,9,FALSE)</f>
        <v>96710</v>
      </c>
      <c r="J30" s="196">
        <f>+VLOOKUP($B30,[7]Summary!$C$6:$K$27,9,FALSE)</f>
        <v>120000</v>
      </c>
      <c r="K30" s="196">
        <f>+VLOOKUP($B30,[8]Summary!$C$6:$K$27,9,FALSE)</f>
        <v>150000</v>
      </c>
      <c r="L30" s="196">
        <f>+VLOOKUP($B30,[9]Summary!$C$6:$K$27,9,FALSE)</f>
        <v>179483</v>
      </c>
      <c r="M30" s="196">
        <f>+VLOOKUP($B30,[10]Summary!$C$6:$K$27,9,FALSE)</f>
        <v>179483</v>
      </c>
      <c r="N30" s="196">
        <f>+VLOOKUP($B30,[11]Summary!$C$6:$K$27,9,FALSE)</f>
        <v>109910</v>
      </c>
    </row>
    <row r="31" spans="1:18" x14ac:dyDescent="0.2">
      <c r="B31" t="s">
        <v>25</v>
      </c>
      <c r="C31" t="s">
        <v>24</v>
      </c>
      <c r="D31" s="196">
        <f>+VLOOKUP($B31,[1]Summary!$C$6:$K$27,9,FALSE)</f>
        <v>4999</v>
      </c>
      <c r="E31" s="196">
        <f>+VLOOKUP($B31,[2]Summary!$C$6:$K$27,9,FALSE)</f>
        <v>4999</v>
      </c>
      <c r="F31" s="196">
        <f>+VLOOKUP($B31,[3]Summary!$C$6:$K$27,9,FALSE)</f>
        <v>4999</v>
      </c>
      <c r="G31" s="196">
        <f>+VLOOKUP($B31,[4]Summary!$C$6:$K$27,9,FALSE)</f>
        <v>0</v>
      </c>
      <c r="H31" s="196">
        <f>+VLOOKUP($B31,[5]Summary!$C$6:$K$27,9,FALSE)</f>
        <v>4999</v>
      </c>
      <c r="I31" s="196">
        <f>+VLOOKUP($B31,[6]Summary!$C$6:$K$27,9,FALSE)</f>
        <v>4999</v>
      </c>
      <c r="J31" s="196">
        <f>+VLOOKUP($B31,[7]Summary!$C$6:$K$27,9,FALSE)</f>
        <v>4999</v>
      </c>
      <c r="K31" s="196">
        <f>+VLOOKUP($B31,[8]Summary!$C$6:$K$27,9,FALSE)</f>
        <v>4999</v>
      </c>
      <c r="L31" s="196">
        <f>+VLOOKUP($B31,[9]Summary!$C$6:$K$27,9,FALSE)</f>
        <v>0</v>
      </c>
      <c r="M31" s="196">
        <f>+VLOOKUP($B31,[10]Summary!$C$6:$K$27,9,FALSE)</f>
        <v>4999</v>
      </c>
      <c r="N31" s="196">
        <f>+VLOOKUP($B31,[11]Summary!$C$6:$K$27,9,FALSE)</f>
        <v>3061</v>
      </c>
    </row>
    <row r="32" spans="1:18" x14ac:dyDescent="0.2">
      <c r="B32" t="s">
        <v>63</v>
      </c>
      <c r="C32" t="s">
        <v>43</v>
      </c>
      <c r="D32" s="196">
        <f>+VLOOKUP($B32,[1]Summary!$C$6:$K$27,9,FALSE)</f>
        <v>12000</v>
      </c>
      <c r="E32" s="196">
        <f>+VLOOKUP($B32,[2]Summary!$C$6:$K$27,9,FALSE)</f>
        <v>28926</v>
      </c>
      <c r="F32" s="196">
        <f>+VLOOKUP($B32,[3]Summary!$C$6:$K$27,9,FALSE)</f>
        <v>28926</v>
      </c>
      <c r="G32" s="196">
        <f>+VLOOKUP($B32,[4]Summary!$C$6:$K$27,9,FALSE)</f>
        <v>0</v>
      </c>
      <c r="H32" s="196">
        <f>+VLOOKUP($B32,[5]Summary!$C$6:$K$27,9,FALSE)</f>
        <v>28926</v>
      </c>
      <c r="I32" s="196">
        <f>+VLOOKUP($B32,[6]Summary!$C$6:$K$27,9,FALSE)</f>
        <v>28926</v>
      </c>
      <c r="J32" s="196">
        <f>+VLOOKUP($B32,[7]Summary!$C$6:$K$27,9,FALSE)</f>
        <v>20000</v>
      </c>
      <c r="K32" s="196">
        <f>+VLOOKUP($B32,[8]Summary!$C$6:$K$27,9,FALSE)</f>
        <v>28926</v>
      </c>
      <c r="L32" s="196">
        <f>+VLOOKUP($B32,[9]Summary!$C$6:$K$27,9,FALSE)</f>
        <v>28926</v>
      </c>
      <c r="M32" s="196">
        <f>+VLOOKUP($B32,[10]Summary!$C$6:$K$27,9,FALSE)</f>
        <v>28926</v>
      </c>
      <c r="N32" s="196">
        <f>+VLOOKUP($B32,[11]Summary!$C$6:$K$27,9,FALSE)</f>
        <v>17713</v>
      </c>
    </row>
    <row r="33" spans="2:14" x14ac:dyDescent="0.2">
      <c r="B33" t="s">
        <v>19</v>
      </c>
      <c r="C33" t="s">
        <v>18</v>
      </c>
      <c r="D33" s="196">
        <f>+VLOOKUP($B33,[1]Summary!$C$6:$K$27,9,FALSE)</f>
        <v>30000</v>
      </c>
      <c r="E33" s="196">
        <f>+VLOOKUP($B33,[2]Summary!$C$6:$K$27,9,FALSE)</f>
        <v>36000</v>
      </c>
      <c r="F33" s="196">
        <f>+VLOOKUP($B33,[3]Summary!$C$6:$K$27,9,FALSE)</f>
        <v>36000</v>
      </c>
      <c r="G33" s="196">
        <f>+VLOOKUP($B33,[4]Summary!$C$6:$K$27,9,FALSE)</f>
        <v>36000</v>
      </c>
      <c r="H33" s="196">
        <f>+VLOOKUP($B33,[5]Summary!$C$6:$K$27,9,FALSE)</f>
        <v>36000</v>
      </c>
      <c r="I33" s="196">
        <f>+VLOOKUP($B33,[6]Summary!$C$6:$K$27,9,FALSE)</f>
        <v>36000</v>
      </c>
      <c r="J33" s="196">
        <f>+VLOOKUP($B33,[7]Summary!$C$6:$K$27,9,FALSE)</f>
        <v>30000</v>
      </c>
      <c r="K33" s="196">
        <f>+VLOOKUP($B33,[8]Summary!$C$6:$K$27,9,FALSE)</f>
        <v>36000</v>
      </c>
      <c r="L33" s="196">
        <f>+VLOOKUP($B33,[9]Summary!$C$6:$K$27,9,FALSE)</f>
        <v>36000</v>
      </c>
      <c r="M33" s="196">
        <f>+VLOOKUP($B33,[10]Summary!$C$6:$K$27,9,FALSE)</f>
        <v>36000</v>
      </c>
      <c r="N33" s="196">
        <f>+VLOOKUP($B33,[11]Summary!$C$6:$K$27,9,FALSE)</f>
        <v>22045</v>
      </c>
    </row>
    <row r="34" spans="2:14" x14ac:dyDescent="0.2">
      <c r="B34" t="s">
        <v>39</v>
      </c>
      <c r="C34" t="s">
        <v>38</v>
      </c>
      <c r="D34" s="196">
        <f>+VLOOKUP($B34,[1]Summary!$C$6:$K$27,9,FALSE)</f>
        <v>250000</v>
      </c>
      <c r="E34" s="196">
        <f>+VLOOKUP($B34,[2]Summary!$C$6:$K$27,9,FALSE)</f>
        <v>375000</v>
      </c>
      <c r="F34" s="196">
        <f>+VLOOKUP($B34,[3]Summary!$C$6:$K$27,9,FALSE)</f>
        <v>375000</v>
      </c>
      <c r="G34" s="196">
        <f>+VLOOKUP($B34,[4]Summary!$C$6:$K$27,9,FALSE)</f>
        <v>254999.34</v>
      </c>
      <c r="H34" s="196">
        <f>+VLOOKUP($B34,[5]Summary!$C$6:$K$27,9,FALSE)</f>
        <v>375000</v>
      </c>
      <c r="I34" s="196">
        <f>+VLOOKUP($B34,[6]Summary!$C$6:$K$27,9,FALSE)</f>
        <v>280402</v>
      </c>
      <c r="J34" s="196">
        <f>+VLOOKUP($B34,[7]Summary!$C$6:$K$27,9,FALSE)</f>
        <v>300000</v>
      </c>
      <c r="K34" s="196">
        <f>+VLOOKUP($B34,[8]Summary!$C$6:$K$27,9,FALSE)</f>
        <v>300000</v>
      </c>
      <c r="L34" s="196">
        <f>+VLOOKUP($B34,[9]Summary!$C$6:$K$27,9,FALSE)</f>
        <v>375000</v>
      </c>
      <c r="M34" s="196">
        <f>+VLOOKUP($B34,[10]Summary!$C$6:$K$27,9,FALSE)</f>
        <v>375000</v>
      </c>
      <c r="N34" s="196">
        <f>+VLOOKUP($B34,[11]Summary!$C$6:$K$27,9,FALSE)</f>
        <v>226937</v>
      </c>
    </row>
    <row r="35" spans="2:14" x14ac:dyDescent="0.2">
      <c r="B35" t="s">
        <v>60</v>
      </c>
      <c r="C35" t="s">
        <v>16</v>
      </c>
      <c r="D35" s="196">
        <f>+VLOOKUP($B35,[1]Summary!$C$6:$K$27,9,FALSE)</f>
        <v>125000</v>
      </c>
      <c r="E35" s="196">
        <f>+VLOOKUP($B35,[2]Summary!$C$6:$K$27,9,FALSE)</f>
        <v>143160</v>
      </c>
      <c r="F35" s="196">
        <f>+VLOOKUP($B35,[3]Summary!$C$6:$K$27,9,FALSE)</f>
        <v>143160</v>
      </c>
      <c r="G35" s="196">
        <f>+VLOOKUP($B35,[4]Summary!$C$6:$K$27,9,FALSE)</f>
        <v>143160</v>
      </c>
      <c r="H35" s="196">
        <f>+VLOOKUP($B35,[5]Summary!$C$6:$K$27,9,FALSE)</f>
        <v>143160</v>
      </c>
      <c r="I35" s="196">
        <f>+VLOOKUP($B35,[6]Summary!$C$6:$K$27,9,FALSE)</f>
        <v>84035</v>
      </c>
      <c r="J35" s="196">
        <f>+VLOOKUP($B35,[7]Summary!$C$6:$K$27,9,FALSE)</f>
        <v>105000</v>
      </c>
      <c r="K35" s="196">
        <f>+VLOOKUP($B35,[8]Summary!$C$6:$K$27,9,FALSE)</f>
        <v>100000</v>
      </c>
      <c r="L35" s="196">
        <f>+VLOOKUP($B35,[9]Summary!$C$6:$K$27,9,FALSE)</f>
        <v>143160</v>
      </c>
      <c r="M35" s="196">
        <f>+VLOOKUP($B35,[10]Summary!$C$6:$K$27,9,FALSE)</f>
        <v>143160</v>
      </c>
      <c r="N35" s="196">
        <f>+VLOOKUP($B35,[11]Summary!$C$6:$K$27,9,FALSE)</f>
        <v>87667</v>
      </c>
    </row>
    <row r="36" spans="2:14" x14ac:dyDescent="0.2">
      <c r="B36" t="s">
        <v>40</v>
      </c>
      <c r="C36" t="s">
        <v>24</v>
      </c>
      <c r="D36" s="196">
        <f>+VLOOKUP($B36,[1]Summary!$C$6:$K$27,9,FALSE)</f>
        <v>120000</v>
      </c>
      <c r="E36" s="196">
        <f>+VLOOKUP($B36,[2]Summary!$C$6:$K$27,9,FALSE)</f>
        <v>138262</v>
      </c>
      <c r="F36" s="196">
        <f>+VLOOKUP($B36,[3]Summary!$C$6:$K$27,9,FALSE)</f>
        <v>138262</v>
      </c>
      <c r="G36" s="196">
        <f>+VLOOKUP($B36,[4]Summary!$C$6:$K$27,9,FALSE)</f>
        <v>0</v>
      </c>
      <c r="H36" s="196">
        <f>+VLOOKUP($B36,[5]Summary!$C$6:$K$27,9,FALSE)</f>
        <v>138262</v>
      </c>
      <c r="I36" s="196">
        <f>+VLOOKUP($B36,[6]Summary!$C$6:$K$27,9,FALSE)</f>
        <v>79125</v>
      </c>
      <c r="J36" s="196">
        <f>+VLOOKUP($B36,[7]Summary!$C$6:$K$27,9,FALSE)</f>
        <v>120000</v>
      </c>
      <c r="K36" s="196">
        <f>+VLOOKUP($B36,[8]Summary!$C$6:$K$27,9,FALSE)</f>
        <v>100000</v>
      </c>
      <c r="L36" s="196">
        <f>+VLOOKUP($B36,[9]Summary!$C$6:$K$27,9,FALSE)</f>
        <v>138262</v>
      </c>
      <c r="M36" s="196">
        <f>+VLOOKUP($B36,[10]Summary!$C$6:$K$27,9,FALSE)</f>
        <v>138262</v>
      </c>
      <c r="N36" s="196">
        <f>+VLOOKUP($B36,[11]Summary!$C$6:$K$27,9,FALSE)</f>
        <v>79687</v>
      </c>
    </row>
    <row r="37" spans="2:14" x14ac:dyDescent="0.2">
      <c r="B37" t="s">
        <v>61</v>
      </c>
      <c r="C37" t="s">
        <v>43</v>
      </c>
      <c r="D37" s="196">
        <f>+VLOOKUP($B37,[1]Summary!$C$6:$K$27,9,FALSE)</f>
        <v>117919</v>
      </c>
      <c r="E37" s="196">
        <f>+VLOOKUP($B37,[2]Summary!$C$6:$K$27,9,FALSE)</f>
        <v>153000</v>
      </c>
      <c r="F37" s="196">
        <f>+VLOOKUP($B37,[3]Summary!$C$6:$K$27,9,FALSE)</f>
        <v>129204</v>
      </c>
      <c r="G37" s="196">
        <f>+VLOOKUP($B37,[4]Summary!$C$6:$K$27,9,FALSE)</f>
        <v>141491</v>
      </c>
      <c r="H37" s="196">
        <f>+VLOOKUP($B37,[5]Summary!$C$6:$K$27,9,FALSE)</f>
        <v>153000</v>
      </c>
      <c r="I37" s="196">
        <f>+VLOOKUP($B37,[6]Summary!$C$6:$K$27,9,FALSE)</f>
        <v>82679</v>
      </c>
      <c r="J37" s="196">
        <f>+VLOOKUP($B37,[7]Summary!$C$6:$K$27,9,FALSE)</f>
        <v>90000</v>
      </c>
      <c r="K37" s="196">
        <f>+VLOOKUP($B37,[8]Summary!$C$6:$K$27,9,FALSE)</f>
        <v>100000</v>
      </c>
      <c r="L37" s="196">
        <f>+VLOOKUP($B37,[9]Summary!$C$6:$K$27,9,FALSE)</f>
        <v>153000</v>
      </c>
      <c r="M37" s="196">
        <f>+VLOOKUP($B37,[10]Summary!$C$6:$K$27,9,FALSE)</f>
        <v>153000</v>
      </c>
      <c r="N37" s="196">
        <f>+VLOOKUP($B37,[11]Summary!$C$6:$K$27,9,FALSE)</f>
        <v>85829</v>
      </c>
    </row>
    <row r="38" spans="2:14" x14ac:dyDescent="0.2">
      <c r="B38" t="s">
        <v>33</v>
      </c>
      <c r="C38" t="s">
        <v>32</v>
      </c>
      <c r="D38" s="196">
        <f>+VLOOKUP($B38,[1]Summary!$C$6:$K$27,9,FALSE)</f>
        <v>100000</v>
      </c>
      <c r="E38" s="196">
        <f>+VLOOKUP($B38,[2]Summary!$C$6:$K$27,9,FALSE)</f>
        <v>204140</v>
      </c>
      <c r="F38" s="196">
        <f>+VLOOKUP($B38,[3]Summary!$C$6:$K$27,9,FALSE)</f>
        <v>0</v>
      </c>
      <c r="G38" s="196">
        <f>+VLOOKUP($B38,[4]Summary!$C$6:$K$27,9,FALSE)</f>
        <v>204140.29</v>
      </c>
      <c r="H38" s="196">
        <f>+VLOOKUP($B38,[5]Summary!$C$6:$K$27,9,FALSE)</f>
        <v>183712</v>
      </c>
      <c r="I38" s="196">
        <f>+VLOOKUP($B38,[6]Summary!$C$6:$K$27,9,FALSE)</f>
        <v>109542</v>
      </c>
      <c r="J38" s="196">
        <f>+VLOOKUP($B38,[7]Summary!$C$6:$K$27,9,FALSE)</f>
        <v>150000</v>
      </c>
      <c r="K38" s="196">
        <f>+VLOOKUP($B38,[8]Summary!$C$6:$K$27,9,FALSE)</f>
        <v>204140</v>
      </c>
      <c r="L38" s="196">
        <f>+VLOOKUP($B38,[9]Summary!$C$6:$K$27,9,FALSE)</f>
        <v>135999</v>
      </c>
      <c r="M38" s="196">
        <f>+VLOOKUP($B38,[10]Summary!$C$6:$K$27,9,FALSE)</f>
        <v>183712</v>
      </c>
      <c r="N38" s="196">
        <f>+VLOOKUP($B38,[11]Summary!$C$6:$K$27,9,FALSE)</f>
        <v>123539</v>
      </c>
    </row>
    <row r="39" spans="2:14" x14ac:dyDescent="0.2">
      <c r="B39" t="s">
        <v>42</v>
      </c>
      <c r="C39" t="s">
        <v>41</v>
      </c>
      <c r="D39" s="196">
        <f>+VLOOKUP($B39,[1]Summary!$C$6:$K$27,9,FALSE)</f>
        <v>500000</v>
      </c>
      <c r="E39" s="196">
        <f>+VLOOKUP($B39,[2]Summary!$C$6:$K$27,9,FALSE)</f>
        <v>0</v>
      </c>
      <c r="F39" s="196">
        <f>+VLOOKUP($B39,[3]Summary!$C$6:$K$27,9,FALSE)</f>
        <v>0</v>
      </c>
      <c r="G39" s="196">
        <f>+VLOOKUP($B39,[4]Summary!$C$6:$K$27,9,FALSE)</f>
        <v>0</v>
      </c>
      <c r="H39" s="196">
        <f>+VLOOKUP($B39,[5]Summary!$C$6:$K$27,9,FALSE)</f>
        <v>0</v>
      </c>
      <c r="I39" s="196">
        <f>+VLOOKUP($B39,[6]Summary!$C$6:$K$27,9,FALSE)</f>
        <v>405402</v>
      </c>
      <c r="J39" s="196">
        <f>+VLOOKUP($B39,[7]Summary!$C$6:$K$27,9,FALSE)</f>
        <v>250000</v>
      </c>
      <c r="K39" s="196">
        <f>+VLOOKUP($B39,[8]Summary!$C$6:$K$27,9,FALSE)</f>
        <v>150000</v>
      </c>
      <c r="L39" s="196">
        <f>+VLOOKUP($B39,[9]Summary!$C$6:$K$27,9,FALSE)</f>
        <v>0</v>
      </c>
      <c r="M39" s="196">
        <f>+VLOOKUP($B39,[10]Summary!$C$6:$K$27,9,FALSE)</f>
        <v>0</v>
      </c>
      <c r="N39" s="196">
        <f>+VLOOKUP($B39,[11]Summary!$C$6:$K$27,9,FALSE)</f>
        <v>482691</v>
      </c>
    </row>
    <row r="40" spans="2:14" x14ac:dyDescent="0.2">
      <c r="B40" t="s">
        <v>50</v>
      </c>
      <c r="C40" t="s">
        <v>59</v>
      </c>
      <c r="D40" s="196">
        <f>+VLOOKUP($B40,[1]Summary!$C$6:$K$27,9,FALSE)</f>
        <v>25000</v>
      </c>
      <c r="E40" s="196">
        <f>+VLOOKUP($B40,[2]Summary!$C$6:$K$27,9,FALSE)</f>
        <v>9572</v>
      </c>
      <c r="F40" s="196">
        <f>+VLOOKUP($B40,[3]Summary!$C$6:$K$27,9,FALSE)</f>
        <v>30000</v>
      </c>
      <c r="G40" s="196">
        <f>+VLOOKUP($B40,[4]Summary!$C$6:$K$27,9,FALSE)</f>
        <v>30000</v>
      </c>
      <c r="H40" s="196">
        <f>+VLOOKUP($B40,[5]Summary!$C$6:$K$27,9,FALSE)</f>
        <v>30000</v>
      </c>
      <c r="I40" s="196">
        <f>+VLOOKUP($B40,[6]Summary!$C$6:$K$27,9,FALSE)</f>
        <v>15000</v>
      </c>
      <c r="J40" s="196">
        <f>+VLOOKUP($B40,[7]Summary!$C$6:$K$27,9,FALSE)</f>
        <v>15000</v>
      </c>
      <c r="K40" s="196">
        <f>+VLOOKUP($B40,[8]Summary!$C$6:$K$27,9,FALSE)</f>
        <v>0</v>
      </c>
      <c r="L40" s="196">
        <f>+VLOOKUP($B40,[9]Summary!$C$6:$K$27,9,FALSE)</f>
        <v>9572</v>
      </c>
      <c r="M40" s="196">
        <f>+VLOOKUP($B40,[10]Summary!$C$6:$K$27,9,FALSE)</f>
        <v>30000</v>
      </c>
      <c r="N40" s="196">
        <f>+VLOOKUP($B40,[11]Summary!$C$6:$K$27,9,FALSE)</f>
        <v>17939</v>
      </c>
    </row>
    <row r="41" spans="2:14" x14ac:dyDescent="0.2">
      <c r="B41" t="s">
        <v>37</v>
      </c>
      <c r="C41" t="s">
        <v>36</v>
      </c>
      <c r="D41" s="196">
        <f>+VLOOKUP($B41,[1]Summary!$C$6:$K$27,9,FALSE)</f>
        <v>25000</v>
      </c>
      <c r="E41" s="196">
        <f>+VLOOKUP($B41,[2]Summary!$C$6:$K$27,9,FALSE)</f>
        <v>0</v>
      </c>
      <c r="F41" s="196">
        <f>+VLOOKUP($B41,[3]Summary!$C$6:$K$27,9,FALSE)</f>
        <v>0</v>
      </c>
      <c r="G41" s="196">
        <f>+VLOOKUP($B41,[4]Summary!$C$6:$K$27,9,FALSE)</f>
        <v>73140</v>
      </c>
      <c r="H41" s="196">
        <f>+VLOOKUP($B41,[5]Summary!$C$6:$K$27,9,FALSE)</f>
        <v>0</v>
      </c>
      <c r="I41" s="196">
        <f>+VLOOKUP($B41,[6]Summary!$C$6:$K$27,9,FALSE)</f>
        <v>73140</v>
      </c>
      <c r="J41" s="196">
        <f>+VLOOKUP($B41,[7]Summary!$C$6:$K$27,9,FALSE)</f>
        <v>30000</v>
      </c>
      <c r="K41" s="196">
        <f>+VLOOKUP($B41,[8]Summary!$C$6:$K$27,9,FALSE)</f>
        <v>73140</v>
      </c>
      <c r="L41" s="196">
        <f>+VLOOKUP($B41,[9]Summary!$C$6:$K$27,9,FALSE)</f>
        <v>73140</v>
      </c>
      <c r="M41" s="196">
        <f>+VLOOKUP($B41,[10]Summary!$C$6:$K$27,9,FALSE)</f>
        <v>0</v>
      </c>
      <c r="N41" s="196">
        <f>+VLOOKUP($B41,[11]Summary!$C$6:$K$27,9,FALSE)</f>
        <v>43735</v>
      </c>
    </row>
    <row r="42" spans="2:14" x14ac:dyDescent="0.2">
      <c r="B42" t="s">
        <v>31</v>
      </c>
      <c r="C42" t="s">
        <v>56</v>
      </c>
      <c r="D42" s="196">
        <f>+VLOOKUP($B42,[1]Summary!$C$6:$K$27,9,FALSE)</f>
        <v>85000</v>
      </c>
      <c r="E42" s="196">
        <f>+VLOOKUP($B42,[2]Summary!$C$6:$K$27,9,FALSE)</f>
        <v>0</v>
      </c>
      <c r="F42" s="196">
        <f>+VLOOKUP($B42,[3]Summary!$C$6:$K$27,9,FALSE)</f>
        <v>0</v>
      </c>
      <c r="G42" s="196">
        <f>+VLOOKUP($B42,[4]Summary!$C$6:$K$27,9,FALSE)</f>
        <v>0</v>
      </c>
      <c r="H42" s="196">
        <f>+VLOOKUP($B42,[5]Summary!$C$6:$K$27,9,FALSE)</f>
        <v>0</v>
      </c>
      <c r="I42" s="196">
        <f>+VLOOKUP($B42,[6]Summary!$C$6:$K$27,9,FALSE)</f>
        <v>113875</v>
      </c>
      <c r="J42" s="196">
        <f>+VLOOKUP($B42,[7]Summary!$C$6:$K$27,9,FALSE)</f>
        <v>80000</v>
      </c>
      <c r="K42" s="196">
        <f>+VLOOKUP($B42,[8]Summary!$C$6:$K$27,9,FALSE)</f>
        <v>50000</v>
      </c>
      <c r="L42" s="196">
        <f>+VLOOKUP($B42,[9]Summary!$C$6:$K$27,9,FALSE)</f>
        <v>0</v>
      </c>
      <c r="M42" s="196">
        <f>+VLOOKUP($B42,[10]Summary!$C$6:$K$27,9,FALSE)</f>
        <v>0</v>
      </c>
      <c r="N42" s="196">
        <f>+VLOOKUP($B42,[11]Summary!$C$6:$K$27,9,FALSE)</f>
        <v>103447</v>
      </c>
    </row>
    <row r="43" spans="2:14" x14ac:dyDescent="0.2">
      <c r="B43" t="s">
        <v>12</v>
      </c>
      <c r="C43" t="s">
        <v>11</v>
      </c>
      <c r="D43" s="196">
        <f>+VLOOKUP($B43,[1]Summary!$C$6:$K$27,9,FALSE)</f>
        <v>0</v>
      </c>
      <c r="E43" s="196">
        <f>+VLOOKUP($B43,[2]Summary!$C$6:$K$27,9,FALSE)</f>
        <v>0</v>
      </c>
      <c r="F43" s="196">
        <f>+VLOOKUP($B43,[3]Summary!$C$6:$K$27,9,FALSE)</f>
        <v>0</v>
      </c>
      <c r="G43" s="196">
        <f>+VLOOKUP($B43,[4]Summary!$C$6:$K$27,9,FALSE)</f>
        <v>0</v>
      </c>
      <c r="H43" s="196">
        <f>+VLOOKUP($B43,[5]Summary!$C$6:$K$27,9,FALSE)</f>
        <v>0</v>
      </c>
      <c r="I43" s="196">
        <f>+VLOOKUP($B43,[6]Summary!$C$6:$K$27,9,FALSE)</f>
        <v>0</v>
      </c>
      <c r="J43" s="196">
        <f>+VLOOKUP($B43,[7]Summary!$C$6:$K$27,9,FALSE)</f>
        <v>0</v>
      </c>
      <c r="K43" s="196">
        <f>+VLOOKUP($B43,[8]Summary!$C$6:$K$27,9,FALSE)</f>
        <v>0</v>
      </c>
      <c r="L43" s="196">
        <f>+VLOOKUP($B43,[9]Summary!$C$6:$K$27,9,FALSE)</f>
        <v>0</v>
      </c>
      <c r="M43" s="196">
        <f>+VLOOKUP($B43,[10]Summary!$C$6:$K$27,9,FALSE)</f>
        <v>0</v>
      </c>
      <c r="N43" s="196" t="str">
        <f>+VLOOKUP($B43,[11]Summary!$C$6:$K$27,9,FALSE)</f>
        <v xml:space="preserve"> $-   </v>
      </c>
    </row>
    <row r="44" spans="2:14" x14ac:dyDescent="0.2">
      <c r="B44" t="s">
        <v>23</v>
      </c>
      <c r="C44" t="s">
        <v>22</v>
      </c>
      <c r="D44" s="196">
        <f>+VLOOKUP($B44,[1]Summary!$C$6:$K$27,9,FALSE)</f>
        <v>31968</v>
      </c>
      <c r="E44" s="196">
        <f>+VLOOKUP($B44,[2]Summary!$C$6:$K$27,9,FALSE)</f>
        <v>0</v>
      </c>
      <c r="F44" s="196">
        <f>+VLOOKUP($B44,[3]Summary!$C$6:$K$27,9,FALSE)</f>
        <v>0</v>
      </c>
      <c r="G44" s="196">
        <f>+VLOOKUP($B44,[4]Summary!$C$6:$K$27,9,FALSE)</f>
        <v>111028</v>
      </c>
      <c r="H44" s="196">
        <f>+VLOOKUP($B44,[5]Summary!$C$6:$K$27,9,FALSE)</f>
        <v>0</v>
      </c>
      <c r="I44" s="196">
        <f>+VLOOKUP($B44,[6]Summary!$C$6:$K$27,9,FALSE)</f>
        <v>51903</v>
      </c>
      <c r="J44" s="196">
        <f>+VLOOKUP($B44,[7]Summary!$C$6:$K$27,9,FALSE)</f>
        <v>55000</v>
      </c>
      <c r="K44" s="196">
        <f>+VLOOKUP($B44,[8]Summary!$C$6:$K$27,9,FALSE)</f>
        <v>50000</v>
      </c>
      <c r="L44" s="196">
        <f>+VLOOKUP($B44,[9]Summary!$C$6:$K$27,9,FALSE)</f>
        <v>0</v>
      </c>
      <c r="M44" s="196">
        <f>+VLOOKUP($B44,[10]Summary!$C$6:$K$27,9,FALSE)</f>
        <v>0</v>
      </c>
      <c r="N44" s="196">
        <f>+VLOOKUP($B44,[11]Summary!$C$6:$K$27,9,FALSE)</f>
        <v>51992</v>
      </c>
    </row>
    <row r="45" spans="2:14" x14ac:dyDescent="0.2">
      <c r="B45" t="s">
        <v>15</v>
      </c>
      <c r="C45" t="s">
        <v>14</v>
      </c>
      <c r="D45" s="196">
        <f>+VLOOKUP($B45,[1]Summary!$C$6:$K$27,9,FALSE)</f>
        <v>50000</v>
      </c>
      <c r="E45" s="196">
        <f>+VLOOKUP($B45,[2]Summary!$C$6:$K$27,9,FALSE)</f>
        <v>0</v>
      </c>
      <c r="F45" s="196">
        <f>+VLOOKUP($B45,[3]Summary!$C$6:$K$27,9,FALSE)</f>
        <v>0</v>
      </c>
      <c r="G45" s="196">
        <f>+VLOOKUP($B45,[4]Summary!$C$6:$K$27,9,FALSE)</f>
        <v>0</v>
      </c>
      <c r="H45" s="196">
        <f>+VLOOKUP($B45,[5]Summary!$C$6:$K$27,9,FALSE)</f>
        <v>0</v>
      </c>
      <c r="I45" s="196">
        <f>+VLOOKUP($B45,[6]Summary!$C$6:$K$27,9,FALSE)</f>
        <v>0</v>
      </c>
      <c r="J45" s="196">
        <f>+VLOOKUP($B45,[7]Summary!$C$6:$K$27,9,FALSE)</f>
        <v>54041</v>
      </c>
      <c r="K45" s="196">
        <f>+VLOOKUP($B45,[8]Summary!$C$6:$K$27,9,FALSE)</f>
        <v>50000</v>
      </c>
      <c r="L45" s="196">
        <f>+VLOOKUP($B45,[9]Summary!$C$6:$K$27,9,FALSE)</f>
        <v>0</v>
      </c>
      <c r="M45" s="196">
        <f>+VLOOKUP($B45,[10]Summary!$C$6:$K$27,9,FALSE)</f>
        <v>0</v>
      </c>
      <c r="N45" s="196">
        <f>+VLOOKUP($B45,[11]Summary!$C$6:$K$27,9,FALSE)</f>
        <v>76377</v>
      </c>
    </row>
    <row r="46" spans="2:14" x14ac:dyDescent="0.2">
      <c r="B46" t="s">
        <v>35</v>
      </c>
      <c r="C46" t="s">
        <v>34</v>
      </c>
      <c r="D46" s="196">
        <f>+VLOOKUP($B46,[1]Summary!$C$6:$K$27,9,FALSE)</f>
        <v>50000</v>
      </c>
      <c r="E46" s="196">
        <f>+VLOOKUP($B46,[2]Summary!$C$6:$K$27,9,FALSE)</f>
        <v>0</v>
      </c>
      <c r="F46" s="196">
        <f>+VLOOKUP($B46,[3]Summary!$C$6:$K$27,9,FALSE)</f>
        <v>207508</v>
      </c>
      <c r="G46" s="196">
        <f>+VLOOKUP($B46,[4]Summary!$C$6:$K$27,9,FALSE)</f>
        <v>0</v>
      </c>
      <c r="H46" s="196">
        <f>+VLOOKUP($B46,[5]Summary!$C$6:$K$27,9,FALSE)</f>
        <v>0</v>
      </c>
      <c r="I46" s="196">
        <f>+VLOOKUP($B46,[6]Summary!$C$6:$K$27,9,FALSE)</f>
        <v>0</v>
      </c>
      <c r="J46" s="196">
        <f>+VLOOKUP($B46,[7]Summary!$C$6:$K$27,9,FALSE)</f>
        <v>90000</v>
      </c>
      <c r="K46" s="196">
        <f>+VLOOKUP($B46,[8]Summary!$C$6:$K$27,9,FALSE)</f>
        <v>50000</v>
      </c>
      <c r="L46" s="196">
        <f>+VLOOKUP($B46,[9]Summary!$C$6:$K$27,9,FALSE)</f>
        <v>0</v>
      </c>
      <c r="M46" s="196">
        <f>+VLOOKUP($B46,[10]Summary!$C$6:$K$27,9,FALSE)</f>
        <v>0</v>
      </c>
      <c r="N46" s="196">
        <f>+VLOOKUP($B46,[11]Summary!$C$6:$K$27,9,FALSE)</f>
        <v>97172</v>
      </c>
    </row>
    <row r="47" spans="2:14" x14ac:dyDescent="0.2">
      <c r="B47" t="s">
        <v>27</v>
      </c>
      <c r="C47" t="s">
        <v>26</v>
      </c>
      <c r="D47" s="196">
        <f>+VLOOKUP($B47,[1]Summary!$C$6:$K$27,9,FALSE)</f>
        <v>15000</v>
      </c>
      <c r="E47" s="196">
        <f>+VLOOKUP($B47,[2]Summary!$C$6:$K$27,9,FALSE)</f>
        <v>0</v>
      </c>
      <c r="F47" s="196">
        <f>+VLOOKUP($B47,[3]Summary!$C$6:$K$27,9,FALSE)</f>
        <v>0</v>
      </c>
      <c r="G47" s="196">
        <f>+VLOOKUP($B47,[4]Summary!$C$6:$K$27,9,FALSE)</f>
        <v>0</v>
      </c>
      <c r="H47" s="196">
        <f>+VLOOKUP($B47,[5]Summary!$C$6:$K$27,9,FALSE)</f>
        <v>0</v>
      </c>
      <c r="I47" s="196">
        <f>+VLOOKUP($B47,[6]Summary!$C$6:$K$27,9,FALSE)</f>
        <v>0</v>
      </c>
      <c r="J47" s="196">
        <f>+VLOOKUP($B47,[7]Summary!$C$6:$K$27,9,FALSE)</f>
        <v>0</v>
      </c>
      <c r="K47" s="196">
        <f>+VLOOKUP($B47,[8]Summary!$C$6:$K$27,9,FALSE)</f>
        <v>21835</v>
      </c>
      <c r="L47" s="196">
        <f>+VLOOKUP($B47,[9]Summary!$C$6:$K$27,9,FALSE)</f>
        <v>0</v>
      </c>
      <c r="M47" s="196">
        <f>+VLOOKUP($B47,[10]Summary!$C$6:$K$27,9,FALSE)</f>
        <v>0</v>
      </c>
      <c r="N47" s="196" t="str">
        <f>+VLOOKUP($B47,[11]Summary!$C$6:$K$27,9,FALSE)</f>
        <v xml:space="preserve"> $-   </v>
      </c>
    </row>
    <row r="48" spans="2:14" x14ac:dyDescent="0.2">
      <c r="B48" t="s">
        <v>21</v>
      </c>
      <c r="C48" t="s">
        <v>20</v>
      </c>
      <c r="D48" s="196">
        <f>+VLOOKUP($B48,[1]Summary!$C$6:$K$27,9,FALSE)</f>
        <v>20000</v>
      </c>
      <c r="E48" s="196">
        <f>+VLOOKUP($B48,[2]Summary!$C$6:$K$27,9,FALSE)</f>
        <v>0</v>
      </c>
      <c r="F48" s="196">
        <f>+VLOOKUP($B48,[3]Summary!$C$6:$K$27,9,FALSE)</f>
        <v>0</v>
      </c>
      <c r="G48" s="196">
        <f>+VLOOKUP($B48,[4]Summary!$C$6:$K$27,9,FALSE)</f>
        <v>99100</v>
      </c>
      <c r="H48" s="196">
        <f>+VLOOKUP($B48,[5]Summary!$C$6:$K$27,9,FALSE)</f>
        <v>0</v>
      </c>
      <c r="I48" s="196">
        <f>+VLOOKUP($B48,[6]Summary!$C$6:$K$27,9,FALSE)</f>
        <v>0</v>
      </c>
      <c r="J48" s="196">
        <f>+VLOOKUP($B48,[7]Summary!$C$6:$K$27,9,FALSE)</f>
        <v>0</v>
      </c>
      <c r="K48" s="196">
        <f>+VLOOKUP($B48,[8]Summary!$C$6:$K$27,9,FALSE)</f>
        <v>0</v>
      </c>
      <c r="L48" s="196">
        <f>+VLOOKUP($B48,[9]Summary!$C$6:$K$27,9,FALSE)</f>
        <v>0</v>
      </c>
      <c r="M48" s="196">
        <f>+VLOOKUP($B48,[10]Summary!$C$6:$K$27,9,FALSE)</f>
        <v>0</v>
      </c>
      <c r="N48" s="196" t="str">
        <f>+VLOOKUP($B48,[11]Summary!$C$6:$K$27,9,FALSE)</f>
        <v xml:space="preserve"> $-   </v>
      </c>
    </row>
    <row r="49" spans="2:18" x14ac:dyDescent="0.2">
      <c r="B49" t="s">
        <v>29</v>
      </c>
      <c r="C49" t="s">
        <v>28</v>
      </c>
      <c r="D49" s="196">
        <f>+VLOOKUP($B49,[1]Summary!$C$6:$K$27,9,FALSE)</f>
        <v>7367</v>
      </c>
      <c r="E49" s="196">
        <f>+VLOOKUP($B49,[2]Summary!$C$6:$K$27,9,FALSE)</f>
        <v>0</v>
      </c>
      <c r="F49" s="196">
        <f>+VLOOKUP($B49,[3]Summary!$C$6:$K$27,9,FALSE)</f>
        <v>0</v>
      </c>
      <c r="G49" s="196">
        <f>+VLOOKUP($B49,[4]Summary!$C$6:$K$27,9,FALSE)</f>
        <v>0</v>
      </c>
      <c r="H49" s="196">
        <f>+VLOOKUP($B49,[5]Summary!$C$6:$K$27,9,FALSE)</f>
        <v>0</v>
      </c>
      <c r="I49" s="196">
        <f>+VLOOKUP($B49,[6]Summary!$C$6:$K$27,9,FALSE)</f>
        <v>0</v>
      </c>
      <c r="J49" s="196">
        <f>+VLOOKUP($B49,[7]Summary!$C$6:$K$27,9,FALSE)</f>
        <v>0</v>
      </c>
      <c r="K49" s="196">
        <f>+VLOOKUP($B49,[8]Summary!$C$6:$K$27,9,FALSE)</f>
        <v>0</v>
      </c>
      <c r="L49" s="196">
        <f>+VLOOKUP($B49,[9]Summary!$C$6:$K$27,9,FALSE)</f>
        <v>0</v>
      </c>
      <c r="M49" s="196">
        <f>+VLOOKUP($B49,[10]Summary!$C$6:$K$27,9,FALSE)</f>
        <v>0</v>
      </c>
      <c r="N49" s="196" t="str">
        <f>+VLOOKUP($B49,[11]Summary!$C$6:$K$27,9,FALSE)</f>
        <v xml:space="preserve"> $-   </v>
      </c>
    </row>
    <row r="50" spans="2:18" x14ac:dyDescent="0.2">
      <c r="D50" s="195">
        <f>+SUM(D28:D49)</f>
        <v>2194040</v>
      </c>
      <c r="E50" s="195">
        <f t="shared" ref="E50:I50" si="11">+SUM(E28:E49)</f>
        <v>2194040</v>
      </c>
      <c r="F50" s="195">
        <f t="shared" si="11"/>
        <v>2194040</v>
      </c>
      <c r="G50" s="195">
        <f t="shared" si="11"/>
        <v>2194039.63</v>
      </c>
      <c r="H50" s="195">
        <f t="shared" si="11"/>
        <v>2194040</v>
      </c>
      <c r="I50" s="195">
        <f t="shared" si="11"/>
        <v>2194040</v>
      </c>
      <c r="J50" s="195">
        <f t="shared" ref="J50:R50" si="12">+SUM(J28:J49)</f>
        <v>2194040</v>
      </c>
      <c r="K50" s="195">
        <f t="shared" si="12"/>
        <v>2194040</v>
      </c>
      <c r="L50" s="195">
        <f t="shared" si="12"/>
        <v>2194040</v>
      </c>
      <c r="M50" s="195">
        <f t="shared" si="12"/>
        <v>2194040</v>
      </c>
      <c r="N50" s="195">
        <f>+SUM(N28:N49)</f>
        <v>2194040</v>
      </c>
      <c r="O50" s="195">
        <f t="shared" si="12"/>
        <v>0</v>
      </c>
      <c r="P50" s="195">
        <f t="shared" si="12"/>
        <v>0</v>
      </c>
      <c r="Q50" s="195">
        <f t="shared" ref="Q50" si="13">+SUM(Q28:Q49)</f>
        <v>0</v>
      </c>
      <c r="R50" s="195">
        <f t="shared" si="1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topLeftCell="D1" zoomScaleNormal="100" workbookViewId="0">
      <selection activeCell="P42" sqref="P42"/>
    </sheetView>
  </sheetViews>
  <sheetFormatPr defaultRowHeight="12.75" x14ac:dyDescent="0.2"/>
  <cols>
    <col min="1" max="1" width="1.7109375" customWidth="1"/>
    <col min="2" max="2" width="57.5703125" customWidth="1"/>
    <col min="3" max="3" width="41" bestFit="1" customWidth="1"/>
    <col min="4" max="5" width="14.7109375" customWidth="1"/>
    <col min="6" max="6" width="8.140625" bestFit="1" customWidth="1"/>
    <col min="7" max="7" width="8.7109375" bestFit="1" customWidth="1"/>
    <col min="8" max="8" width="8.85546875" bestFit="1" customWidth="1"/>
    <col min="9" max="9" width="9.7109375" customWidth="1"/>
    <col min="10" max="11" width="14.7109375" customWidth="1"/>
    <col min="12" max="12" width="3.85546875" customWidth="1"/>
    <col min="13" max="13" width="25.28515625" style="85" customWidth="1"/>
    <col min="14" max="15" width="13.28515625" customWidth="1"/>
    <col min="16" max="16" width="5.7109375" customWidth="1"/>
    <col min="17" max="17" width="14.7109375" customWidth="1"/>
    <col min="18" max="18" width="5.7109375" bestFit="1" customWidth="1"/>
    <col min="19" max="19" width="14.7109375" customWidth="1"/>
    <col min="20" max="20" width="5.7109375" bestFit="1" customWidth="1"/>
  </cols>
  <sheetData>
    <row r="1" spans="2:16" ht="6" customHeight="1" x14ac:dyDescent="0.2"/>
    <row r="2" spans="2:16" ht="51.75" customHeight="1" x14ac:dyDescent="0.2">
      <c r="J2" s="217" t="s">
        <v>118</v>
      </c>
      <c r="K2" s="218"/>
    </row>
    <row r="3" spans="2:16" ht="6" customHeight="1" thickBot="1" x14ac:dyDescent="0.25"/>
    <row r="4" spans="2:16" ht="18.75" customHeight="1" thickBot="1" x14ac:dyDescent="0.25">
      <c r="B4" s="107"/>
      <c r="C4" s="108"/>
      <c r="D4" s="174" t="s">
        <v>64</v>
      </c>
      <c r="E4" s="108"/>
      <c r="F4" s="108"/>
      <c r="G4" s="108"/>
      <c r="H4" s="108"/>
      <c r="I4" s="108"/>
      <c r="J4" s="215" t="s">
        <v>72</v>
      </c>
      <c r="K4" s="216"/>
      <c r="M4" s="212" t="s">
        <v>77</v>
      </c>
      <c r="N4" s="213"/>
      <c r="O4" s="214"/>
    </row>
    <row r="5" spans="2:16" ht="13.5" thickBot="1" x14ac:dyDescent="0.25">
      <c r="B5" s="175" t="s">
        <v>0</v>
      </c>
      <c r="C5" s="121" t="s">
        <v>1</v>
      </c>
      <c r="D5" s="123" t="s">
        <v>66</v>
      </c>
      <c r="E5" s="123" t="s">
        <v>67</v>
      </c>
      <c r="F5" s="123" t="s">
        <v>117</v>
      </c>
      <c r="G5" s="123" t="s">
        <v>116</v>
      </c>
      <c r="H5" s="123" t="s">
        <v>119</v>
      </c>
      <c r="I5" s="123" t="s">
        <v>124</v>
      </c>
      <c r="J5" s="102" t="s">
        <v>97</v>
      </c>
      <c r="K5" s="41" t="s">
        <v>75</v>
      </c>
      <c r="M5" s="25"/>
      <c r="N5" s="42" t="s">
        <v>97</v>
      </c>
      <c r="O5" s="43" t="s">
        <v>75</v>
      </c>
    </row>
    <row r="6" spans="2:16" ht="38.25" x14ac:dyDescent="0.2">
      <c r="B6" s="22" t="s">
        <v>11</v>
      </c>
      <c r="C6" s="171" t="s">
        <v>12</v>
      </c>
      <c r="D6" s="109">
        <v>159000</v>
      </c>
      <c r="E6" s="110">
        <v>693288</v>
      </c>
      <c r="F6" s="111">
        <v>21</v>
      </c>
      <c r="G6" s="111">
        <v>35</v>
      </c>
      <c r="H6" s="112">
        <v>366</v>
      </c>
      <c r="I6" s="168">
        <v>0.81333333333333335</v>
      </c>
      <c r="J6" s="96">
        <f>+E6</f>
        <v>693288</v>
      </c>
      <c r="K6" s="97">
        <f>+J6*0.72</f>
        <v>499167.36</v>
      </c>
      <c r="M6" s="156" t="s">
        <v>95</v>
      </c>
      <c r="N6" s="157">
        <v>3745440</v>
      </c>
      <c r="O6" s="158">
        <f>+N6</f>
        <v>3745440</v>
      </c>
    </row>
    <row r="7" spans="2:16" x14ac:dyDescent="0.2">
      <c r="B7" s="22" t="s">
        <v>14</v>
      </c>
      <c r="C7" s="172" t="s">
        <v>15</v>
      </c>
      <c r="D7" s="113">
        <v>0</v>
      </c>
      <c r="E7" s="114">
        <v>163100</v>
      </c>
      <c r="F7" s="115">
        <v>16</v>
      </c>
      <c r="G7" s="115">
        <v>35</v>
      </c>
      <c r="H7" s="116">
        <v>375</v>
      </c>
      <c r="I7" s="169">
        <v>0.76530612244897955</v>
      </c>
      <c r="J7" s="98">
        <f t="shared" ref="J7:J14" si="0">+E7</f>
        <v>163100</v>
      </c>
      <c r="K7" s="91">
        <f t="shared" ref="K7:K24" si="1">+J7*0.72</f>
        <v>117432</v>
      </c>
      <c r="M7" s="26" t="s">
        <v>79</v>
      </c>
      <c r="N7" s="24">
        <v>0</v>
      </c>
      <c r="O7" s="94">
        <v>-851400</v>
      </c>
    </row>
    <row r="8" spans="2:16" x14ac:dyDescent="0.2">
      <c r="B8" s="22" t="s">
        <v>22</v>
      </c>
      <c r="C8" s="172" t="s">
        <v>23</v>
      </c>
      <c r="D8" s="113">
        <v>106384</v>
      </c>
      <c r="E8" s="114">
        <v>111028</v>
      </c>
      <c r="F8" s="115">
        <v>21</v>
      </c>
      <c r="G8" s="115">
        <v>35</v>
      </c>
      <c r="H8" s="116">
        <v>362</v>
      </c>
      <c r="I8" s="169">
        <v>0.79560439560439555</v>
      </c>
      <c r="J8" s="98">
        <f t="shared" si="0"/>
        <v>111028</v>
      </c>
      <c r="K8" s="91">
        <f t="shared" si="1"/>
        <v>79940.160000000003</v>
      </c>
      <c r="M8" s="124" t="s">
        <v>98</v>
      </c>
      <c r="N8" s="125"/>
      <c r="O8" s="126"/>
    </row>
    <row r="9" spans="2:16" ht="25.5" x14ac:dyDescent="0.2">
      <c r="B9" s="22" t="s">
        <v>38</v>
      </c>
      <c r="C9" s="172" t="s">
        <v>39</v>
      </c>
      <c r="D9" s="113">
        <v>250000</v>
      </c>
      <c r="E9" s="114">
        <v>375000</v>
      </c>
      <c r="F9" s="115">
        <v>18</v>
      </c>
      <c r="G9" s="115">
        <v>35</v>
      </c>
      <c r="H9" s="116">
        <v>435</v>
      </c>
      <c r="I9" s="169">
        <v>0.88775510204081631</v>
      </c>
      <c r="J9" s="98">
        <f t="shared" si="0"/>
        <v>375000</v>
      </c>
      <c r="K9" s="91">
        <f t="shared" si="1"/>
        <v>270000</v>
      </c>
      <c r="M9" s="26" t="s">
        <v>73</v>
      </c>
      <c r="N9" s="27">
        <v>-450000</v>
      </c>
      <c r="O9" s="28">
        <f>+N9</f>
        <v>-450000</v>
      </c>
    </row>
    <row r="10" spans="2:16" ht="38.25" x14ac:dyDescent="0.2">
      <c r="B10" s="22" t="s">
        <v>24</v>
      </c>
      <c r="C10" s="172" t="s">
        <v>47</v>
      </c>
      <c r="D10" s="113">
        <v>0</v>
      </c>
      <c r="E10" s="114">
        <v>392109</v>
      </c>
      <c r="F10" s="115">
        <v>23</v>
      </c>
      <c r="G10" s="115">
        <v>35</v>
      </c>
      <c r="H10" s="116">
        <v>448</v>
      </c>
      <c r="I10" s="169">
        <v>0.91428571428571426</v>
      </c>
      <c r="J10" s="98">
        <v>1000.1</v>
      </c>
      <c r="K10" s="91">
        <f t="shared" si="1"/>
        <v>720.072</v>
      </c>
      <c r="M10" s="26" t="s">
        <v>93</v>
      </c>
      <c r="N10" s="29">
        <v>-150000</v>
      </c>
      <c r="O10" s="30">
        <f>+N10</f>
        <v>-150000</v>
      </c>
    </row>
    <row r="11" spans="2:16" ht="38.25" x14ac:dyDescent="0.2">
      <c r="B11" s="22" t="s">
        <v>24</v>
      </c>
      <c r="C11" s="172" t="s">
        <v>45</v>
      </c>
      <c r="D11" s="113">
        <v>234675</v>
      </c>
      <c r="E11" s="114">
        <v>529389</v>
      </c>
      <c r="F11" s="115">
        <v>21</v>
      </c>
      <c r="G11" s="115">
        <v>35</v>
      </c>
      <c r="H11" s="116">
        <v>442</v>
      </c>
      <c r="I11" s="169">
        <v>0.90204081632653066</v>
      </c>
      <c r="J11" s="98">
        <f t="shared" si="0"/>
        <v>529389</v>
      </c>
      <c r="K11" s="91">
        <f t="shared" si="1"/>
        <v>381160.07999999996</v>
      </c>
      <c r="M11" s="93" t="s">
        <v>99</v>
      </c>
      <c r="N11" s="29">
        <v>-100000</v>
      </c>
      <c r="O11" s="30">
        <f>+N11</f>
        <v>-100000</v>
      </c>
      <c r="P11" s="66"/>
    </row>
    <row r="12" spans="2:16" x14ac:dyDescent="0.2">
      <c r="B12" s="22" t="s">
        <v>24</v>
      </c>
      <c r="C12" s="172" t="s">
        <v>25</v>
      </c>
      <c r="D12" s="113">
        <v>0</v>
      </c>
      <c r="E12" s="114">
        <v>4999.3399999999983</v>
      </c>
      <c r="F12" s="115">
        <v>20</v>
      </c>
      <c r="G12" s="115">
        <v>35</v>
      </c>
      <c r="H12" s="116">
        <v>407</v>
      </c>
      <c r="I12" s="169">
        <v>0.89450549450549455</v>
      </c>
      <c r="J12" s="98">
        <f t="shared" si="0"/>
        <v>4999.3399999999983</v>
      </c>
      <c r="K12" s="91">
        <f t="shared" si="1"/>
        <v>3599.5247999999988</v>
      </c>
      <c r="M12" s="156" t="s">
        <v>74</v>
      </c>
      <c r="N12" s="157">
        <f>+N6+SUM(N7:N11)</f>
        <v>3045440</v>
      </c>
      <c r="O12" s="158">
        <f>+O6+SUM(O7:O11)</f>
        <v>2194040</v>
      </c>
      <c r="P12" s="103" t="s">
        <v>120</v>
      </c>
    </row>
    <row r="13" spans="2:16" ht="38.25" x14ac:dyDescent="0.2">
      <c r="B13" s="22" t="s">
        <v>24</v>
      </c>
      <c r="C13" s="172" t="s">
        <v>40</v>
      </c>
      <c r="D13" s="113">
        <v>138262</v>
      </c>
      <c r="E13" s="114">
        <v>138262</v>
      </c>
      <c r="F13" s="115">
        <v>26</v>
      </c>
      <c r="G13" s="115">
        <v>35</v>
      </c>
      <c r="H13" s="116">
        <v>434</v>
      </c>
      <c r="I13" s="169">
        <v>0.88571428571428568</v>
      </c>
      <c r="J13" s="98">
        <f t="shared" si="0"/>
        <v>138262</v>
      </c>
      <c r="K13" s="91">
        <f t="shared" si="1"/>
        <v>99548.64</v>
      </c>
      <c r="M13" s="26" t="s">
        <v>76</v>
      </c>
      <c r="N13" s="69">
        <f>+J29</f>
        <v>2971716.6850000005</v>
      </c>
      <c r="O13" s="70">
        <f>+K29</f>
        <v>2140961.0132000004</v>
      </c>
      <c r="P13" s="66"/>
    </row>
    <row r="14" spans="2:16" ht="26.25" thickBot="1" x14ac:dyDescent="0.25">
      <c r="B14" s="22" t="s">
        <v>43</v>
      </c>
      <c r="C14" s="172" t="s">
        <v>62</v>
      </c>
      <c r="D14" s="113">
        <v>138019</v>
      </c>
      <c r="E14" s="114">
        <v>179483</v>
      </c>
      <c r="F14" s="115">
        <v>27</v>
      </c>
      <c r="G14" s="115">
        <v>35</v>
      </c>
      <c r="H14" s="116">
        <v>441</v>
      </c>
      <c r="I14" s="169">
        <v>0.9</v>
      </c>
      <c r="J14" s="99">
        <f t="shared" si="0"/>
        <v>179483</v>
      </c>
      <c r="K14" s="91">
        <f t="shared" si="1"/>
        <v>129227.76</v>
      </c>
      <c r="M14" s="46" t="s">
        <v>78</v>
      </c>
      <c r="N14" s="44">
        <f>+N12-N13</f>
        <v>73723.314999999478</v>
      </c>
      <c r="O14" s="45">
        <f>+O12-O13</f>
        <v>53078.986799999606</v>
      </c>
    </row>
    <row r="15" spans="2:16" ht="25.5" x14ac:dyDescent="0.2">
      <c r="B15" s="22" t="s">
        <v>43</v>
      </c>
      <c r="C15" s="172" t="s">
        <v>63</v>
      </c>
      <c r="D15" s="113">
        <v>15882</v>
      </c>
      <c r="E15" s="114">
        <v>28926</v>
      </c>
      <c r="F15" s="115">
        <v>22</v>
      </c>
      <c r="G15" s="115">
        <v>35</v>
      </c>
      <c r="H15" s="116">
        <v>405</v>
      </c>
      <c r="I15" s="169">
        <v>0.89010989010989006</v>
      </c>
      <c r="J15" s="99">
        <f t="shared" ref="J15:J20" si="2">+E15*0.5</f>
        <v>14463</v>
      </c>
      <c r="K15" s="91">
        <f t="shared" si="1"/>
        <v>10413.359999999999</v>
      </c>
      <c r="M15" s="219" t="s">
        <v>94</v>
      </c>
      <c r="N15" s="219"/>
      <c r="O15" s="219"/>
    </row>
    <row r="16" spans="2:16" ht="25.5" x14ac:dyDescent="0.2">
      <c r="B16" s="22" t="s">
        <v>43</v>
      </c>
      <c r="C16" s="172" t="s">
        <v>61</v>
      </c>
      <c r="D16" s="113">
        <v>153000</v>
      </c>
      <c r="E16" s="114">
        <v>153000</v>
      </c>
      <c r="F16" s="115">
        <v>21</v>
      </c>
      <c r="G16" s="115">
        <v>35</v>
      </c>
      <c r="H16" s="116">
        <v>393</v>
      </c>
      <c r="I16" s="169">
        <v>0.86373626373626378</v>
      </c>
      <c r="J16" s="99">
        <f t="shared" si="2"/>
        <v>76500</v>
      </c>
      <c r="K16" s="91">
        <f t="shared" si="1"/>
        <v>55080</v>
      </c>
    </row>
    <row r="17" spans="2:20" ht="26.25" thickBot="1" x14ac:dyDescent="0.25">
      <c r="B17" s="22" t="s">
        <v>16</v>
      </c>
      <c r="C17" s="172" t="s">
        <v>60</v>
      </c>
      <c r="D17" s="113">
        <v>98644</v>
      </c>
      <c r="E17" s="114">
        <v>143160</v>
      </c>
      <c r="F17" s="115">
        <v>15</v>
      </c>
      <c r="G17" s="115">
        <v>35</v>
      </c>
      <c r="H17" s="116">
        <v>435</v>
      </c>
      <c r="I17" s="169">
        <v>0.88775510204081631</v>
      </c>
      <c r="J17" s="99">
        <f>+E17*0.5-185000</f>
        <v>-113420</v>
      </c>
      <c r="K17" s="91">
        <f t="shared" si="1"/>
        <v>-81662.399999999994</v>
      </c>
    </row>
    <row r="18" spans="2:20" ht="12.75" customHeight="1" x14ac:dyDescent="0.2">
      <c r="B18" s="22" t="s">
        <v>41</v>
      </c>
      <c r="C18" s="172" t="s">
        <v>42</v>
      </c>
      <c r="D18" s="113">
        <v>450000</v>
      </c>
      <c r="E18" s="114">
        <v>1000000</v>
      </c>
      <c r="F18" s="115">
        <v>22</v>
      </c>
      <c r="G18" s="115">
        <v>34</v>
      </c>
      <c r="H18" s="116">
        <v>386</v>
      </c>
      <c r="I18" s="169">
        <v>0.84835164835164834</v>
      </c>
      <c r="J18" s="99">
        <f t="shared" si="2"/>
        <v>500000</v>
      </c>
      <c r="K18" s="91">
        <f t="shared" si="1"/>
        <v>360000</v>
      </c>
      <c r="M18" s="137"/>
      <c r="N18" s="138"/>
      <c r="O18" s="210" t="s">
        <v>84</v>
      </c>
      <c r="P18" s="210" t="s">
        <v>122</v>
      </c>
      <c r="Q18" s="207" t="s">
        <v>97</v>
      </c>
      <c r="R18" s="207"/>
      <c r="S18" s="208" t="s">
        <v>75</v>
      </c>
      <c r="T18" s="209"/>
    </row>
    <row r="19" spans="2:20" ht="26.25" thickBot="1" x14ac:dyDescent="0.25">
      <c r="B19" s="22" t="s">
        <v>18</v>
      </c>
      <c r="C19" s="172" t="s">
        <v>19</v>
      </c>
      <c r="D19" s="113">
        <v>36729</v>
      </c>
      <c r="E19" s="114">
        <v>36000</v>
      </c>
      <c r="F19" s="115">
        <v>22</v>
      </c>
      <c r="G19" s="115">
        <v>34</v>
      </c>
      <c r="H19" s="116">
        <v>435</v>
      </c>
      <c r="I19" s="169">
        <v>0.88775510204081631</v>
      </c>
      <c r="J19" s="99">
        <f t="shared" si="2"/>
        <v>18000</v>
      </c>
      <c r="K19" s="91">
        <f t="shared" si="1"/>
        <v>12960</v>
      </c>
      <c r="M19" s="139" t="s">
        <v>83</v>
      </c>
      <c r="N19" s="128" t="s">
        <v>65</v>
      </c>
      <c r="O19" s="211"/>
      <c r="P19" s="211"/>
      <c r="Q19" s="140" t="s">
        <v>72</v>
      </c>
      <c r="R19" s="141" t="s">
        <v>122</v>
      </c>
      <c r="S19" s="141" t="s">
        <v>72</v>
      </c>
      <c r="T19" s="142" t="s">
        <v>122</v>
      </c>
    </row>
    <row r="20" spans="2:20" x14ac:dyDescent="0.2">
      <c r="B20" s="22" t="s">
        <v>20</v>
      </c>
      <c r="C20" s="172" t="s">
        <v>21</v>
      </c>
      <c r="D20" s="113">
        <v>0</v>
      </c>
      <c r="E20" s="114">
        <v>99100</v>
      </c>
      <c r="F20" s="115">
        <v>15</v>
      </c>
      <c r="G20" s="115">
        <v>35</v>
      </c>
      <c r="H20" s="116">
        <v>357</v>
      </c>
      <c r="I20" s="169">
        <v>0.72857142857142854</v>
      </c>
      <c r="J20" s="99">
        <f t="shared" si="2"/>
        <v>49550</v>
      </c>
      <c r="K20" s="91">
        <f t="shared" si="1"/>
        <v>35676</v>
      </c>
      <c r="M20" s="25" t="s">
        <v>80</v>
      </c>
      <c r="N20" s="143">
        <v>0.88</v>
      </c>
      <c r="O20" s="147">
        <f>+COUNTIF($I$6:$I$27,"&gt;"&amp;N20)</f>
        <v>9</v>
      </c>
      <c r="P20" s="130">
        <f>+O20/O23</f>
        <v>0.40909090909090912</v>
      </c>
      <c r="Q20" s="129">
        <f>+SUMIF($I$6:$I$27,"&gt;"&amp;N20,$J$6:$J$27)</f>
        <v>1147176.44</v>
      </c>
      <c r="R20" s="130">
        <f>+Q20/Q23</f>
        <v>0.38603156410921446</v>
      </c>
      <c r="S20" s="129">
        <f>+SUMIF($I$6:$I$27,"&gt;"&amp;N20,$K$6:$K$27)</f>
        <v>825967.0368</v>
      </c>
      <c r="T20" s="130">
        <f>+S20/S23</f>
        <v>0.38579265652552136</v>
      </c>
    </row>
    <row r="21" spans="2:20" x14ac:dyDescent="0.2">
      <c r="B21" s="22" t="s">
        <v>32</v>
      </c>
      <c r="C21" s="172" t="s">
        <v>33</v>
      </c>
      <c r="D21" s="113">
        <v>97706</v>
      </c>
      <c r="E21" s="114">
        <v>204140.29</v>
      </c>
      <c r="F21" s="115">
        <v>22</v>
      </c>
      <c r="G21" s="115">
        <v>34</v>
      </c>
      <c r="H21" s="116">
        <v>423</v>
      </c>
      <c r="I21" s="169">
        <v>0.86326530612244901</v>
      </c>
      <c r="J21" s="99">
        <f>+E21*0.5</f>
        <v>102070.145</v>
      </c>
      <c r="K21" s="91">
        <f t="shared" si="1"/>
        <v>73490.504400000005</v>
      </c>
      <c r="M21" s="135" t="s">
        <v>81</v>
      </c>
      <c r="N21" s="144" t="str">
        <f>TEXT(N20,"0%")&amp; " - " &amp;TEXT(N22,"0%")</f>
        <v>88% - 75%</v>
      </c>
      <c r="O21" s="148">
        <f>+COUNTA(I6:I27)-O20-O22</f>
        <v>10</v>
      </c>
      <c r="P21" s="132">
        <f>+O21/O23</f>
        <v>0.45454545454545453</v>
      </c>
      <c r="Q21" s="131">
        <f>+J29-Q20-Q22</f>
        <v>1681566.1450000005</v>
      </c>
      <c r="R21" s="132">
        <f>+Q21/Q23</f>
        <v>0.56585681720194003</v>
      </c>
      <c r="S21" s="131">
        <f>+K29-S20-S22</f>
        <v>1212052.6244000006</v>
      </c>
      <c r="T21" s="132">
        <f>+S21/S23</f>
        <v>0.56612550015023333</v>
      </c>
    </row>
    <row r="22" spans="2:20" ht="38.25" x14ac:dyDescent="0.2">
      <c r="B22" s="22" t="s">
        <v>28</v>
      </c>
      <c r="C22" s="172" t="s">
        <v>29</v>
      </c>
      <c r="D22" s="113">
        <v>0</v>
      </c>
      <c r="E22" s="114">
        <v>75000</v>
      </c>
      <c r="F22" s="115">
        <v>15</v>
      </c>
      <c r="G22" s="115">
        <v>30</v>
      </c>
      <c r="H22" s="116">
        <v>309</v>
      </c>
      <c r="I22" s="169">
        <v>0.6306122448979592</v>
      </c>
      <c r="J22" s="99">
        <f t="shared" ref="J22:J23" si="3">+E22*0.5</f>
        <v>37500</v>
      </c>
      <c r="K22" s="92">
        <f t="shared" si="1"/>
        <v>27000</v>
      </c>
      <c r="M22" s="135" t="s">
        <v>82</v>
      </c>
      <c r="N22" s="145">
        <v>0.75</v>
      </c>
      <c r="O22" s="148">
        <f>+COUNTIF($I$6:$I$27,"&lt;"&amp;N22)</f>
        <v>3</v>
      </c>
      <c r="P22" s="132">
        <f>+O22/O23</f>
        <v>0.13636363636363635</v>
      </c>
      <c r="Q22" s="131">
        <f>+SUMIF($I$6:$I$27,"&lt;"&amp;N22,$J$6:$J$27)</f>
        <v>142974.09999999998</v>
      </c>
      <c r="R22" s="132">
        <f>+Q22/Q23</f>
        <v>4.8111618688845482E-2</v>
      </c>
      <c r="S22" s="131">
        <f>+SUMIF($I$6:$I$27,"&lt;"&amp;N22,$K$6:$K$27)</f>
        <v>102941.35199999998</v>
      </c>
      <c r="T22" s="132">
        <f>+S22/S23</f>
        <v>4.8081843324245345E-2</v>
      </c>
    </row>
    <row r="23" spans="2:20" ht="39" thickBot="1" x14ac:dyDescent="0.25">
      <c r="B23" s="22" t="s">
        <v>26</v>
      </c>
      <c r="C23" s="172" t="s">
        <v>27</v>
      </c>
      <c r="D23" s="113">
        <v>0</v>
      </c>
      <c r="E23" s="114">
        <v>111848.19999999997</v>
      </c>
      <c r="F23" s="115">
        <v>20</v>
      </c>
      <c r="G23" s="115">
        <v>33</v>
      </c>
      <c r="H23" s="116">
        <v>367</v>
      </c>
      <c r="I23" s="169">
        <v>0.74897959183673468</v>
      </c>
      <c r="J23" s="99">
        <f t="shared" si="3"/>
        <v>55924.099999999984</v>
      </c>
      <c r="K23" s="92">
        <f t="shared" si="1"/>
        <v>40265.351999999984</v>
      </c>
      <c r="M23" s="136"/>
      <c r="N23" s="146" t="s">
        <v>68</v>
      </c>
      <c r="O23" s="149">
        <f>+SUM(O20:O22)</f>
        <v>22</v>
      </c>
      <c r="P23" s="134">
        <f>+O23/O23</f>
        <v>1</v>
      </c>
      <c r="Q23" s="133">
        <f>+SUM(Q20:Q22)</f>
        <v>2971716.6850000005</v>
      </c>
      <c r="R23" s="134">
        <f>+Q23/Q23</f>
        <v>1</v>
      </c>
      <c r="S23" s="133">
        <f>+SUM(S20:S22)</f>
        <v>2140961.0132000004</v>
      </c>
      <c r="T23" s="134">
        <f>+S23/S23</f>
        <v>1</v>
      </c>
    </row>
    <row r="24" spans="2:20" ht="25.5" x14ac:dyDescent="0.2">
      <c r="B24" s="22" t="s">
        <v>36</v>
      </c>
      <c r="C24" s="172" t="s">
        <v>37</v>
      </c>
      <c r="D24" s="113">
        <v>0</v>
      </c>
      <c r="E24" s="114">
        <v>73140</v>
      </c>
      <c r="F24" s="115">
        <v>24</v>
      </c>
      <c r="G24" s="115">
        <v>35</v>
      </c>
      <c r="H24" s="116">
        <v>406</v>
      </c>
      <c r="I24" s="169">
        <v>0.82857142857142863</v>
      </c>
      <c r="J24" s="99">
        <f>+E24*0.5-990</f>
        <v>35580</v>
      </c>
      <c r="K24" s="92">
        <f t="shared" si="1"/>
        <v>25617.599999999999</v>
      </c>
    </row>
    <row r="25" spans="2:20" x14ac:dyDescent="0.2">
      <c r="B25" s="22" t="s">
        <v>34</v>
      </c>
      <c r="C25" s="172" t="s">
        <v>35</v>
      </c>
      <c r="D25" s="113">
        <v>183508</v>
      </c>
      <c r="E25" s="114">
        <v>207508</v>
      </c>
      <c r="F25" s="115">
        <v>18</v>
      </c>
      <c r="G25" s="115">
        <v>34</v>
      </c>
      <c r="H25" s="116">
        <v>368</v>
      </c>
      <c r="I25" s="169">
        <v>0.75102040816326532</v>
      </c>
      <c r="J25" s="99">
        <v>0</v>
      </c>
      <c r="K25" s="92">
        <v>1325</v>
      </c>
    </row>
    <row r="26" spans="2:20" x14ac:dyDescent="0.2">
      <c r="B26" s="22" t="s">
        <v>56</v>
      </c>
      <c r="C26" s="172" t="s">
        <v>31</v>
      </c>
      <c r="D26" s="113">
        <v>331945</v>
      </c>
      <c r="E26" s="114">
        <v>173000</v>
      </c>
      <c r="F26" s="115">
        <v>18</v>
      </c>
      <c r="G26" s="115">
        <v>34</v>
      </c>
      <c r="H26" s="116">
        <v>405</v>
      </c>
      <c r="I26" s="169">
        <v>0.82653061224489799</v>
      </c>
      <c r="J26" s="99">
        <v>0</v>
      </c>
      <c r="K26" s="92">
        <v>0</v>
      </c>
    </row>
    <row r="27" spans="2:20" ht="13.5" thickBot="1" x14ac:dyDescent="0.25">
      <c r="B27" s="23" t="s">
        <v>59</v>
      </c>
      <c r="C27" s="173" t="s">
        <v>50</v>
      </c>
      <c r="D27" s="117">
        <v>0</v>
      </c>
      <c r="E27" s="118">
        <v>30000</v>
      </c>
      <c r="F27" s="119">
        <v>14</v>
      </c>
      <c r="G27" s="119">
        <v>35</v>
      </c>
      <c r="H27" s="120">
        <v>385</v>
      </c>
      <c r="I27" s="170">
        <v>0.84615384615384615</v>
      </c>
      <c r="J27" s="100">
        <v>0</v>
      </c>
      <c r="K27" s="101">
        <v>0</v>
      </c>
    </row>
    <row r="28" spans="2:20" ht="6" customHeight="1" x14ac:dyDescent="0.2">
      <c r="B28" s="22"/>
      <c r="C28" s="33"/>
      <c r="D28" s="34"/>
      <c r="E28" s="34"/>
      <c r="F28" s="34"/>
      <c r="G28" s="33"/>
      <c r="H28" s="33"/>
      <c r="I28" s="33"/>
      <c r="J28" s="34"/>
      <c r="K28" s="35"/>
    </row>
    <row r="29" spans="2:20" ht="13.5" thickBot="1" x14ac:dyDescent="0.25">
      <c r="B29" s="23"/>
      <c r="C29" s="36" t="s">
        <v>68</v>
      </c>
      <c r="D29" s="37">
        <f>+SUM(D6:D27)</f>
        <v>2393754</v>
      </c>
      <c r="E29" s="37">
        <f>+SUM(E6:E27)</f>
        <v>4921480.83</v>
      </c>
      <c r="F29" s="38"/>
      <c r="G29" s="39"/>
      <c r="H29" s="39"/>
      <c r="I29" s="39"/>
      <c r="J29" s="68">
        <f>+SUM(J6:J27)</f>
        <v>2971716.6850000005</v>
      </c>
      <c r="K29" s="67">
        <f>+SUM(K6:K27)</f>
        <v>2140961.0132000004</v>
      </c>
    </row>
    <row r="30" spans="2:20" ht="6" customHeight="1" x14ac:dyDescent="0.2"/>
    <row r="32" spans="2:20" ht="28.5" customHeight="1" x14ac:dyDescent="0.2">
      <c r="I32" s="206" t="s">
        <v>123</v>
      </c>
      <c r="J32" s="206"/>
      <c r="K32" s="206"/>
    </row>
  </sheetData>
  <mergeCells count="9">
    <mergeCell ref="J2:K2"/>
    <mergeCell ref="M15:O15"/>
    <mergeCell ref="P18:P19"/>
    <mergeCell ref="I32:K32"/>
    <mergeCell ref="Q18:R18"/>
    <mergeCell ref="S18:T18"/>
    <mergeCell ref="O18:O19"/>
    <mergeCell ref="M4:O4"/>
    <mergeCell ref="J4:K4"/>
  </mergeCells>
  <conditionalFormatting sqref="N14:O14">
    <cfRule type="cellIs" dxfId="665" priority="4" operator="lessThanOrEqual">
      <formula>-1</formula>
    </cfRule>
  </conditionalFormatting>
  <conditionalFormatting pivot="1" sqref="I6:I27">
    <cfRule type="cellIs" dxfId="664" priority="3" operator="greaterThan">
      <formula>$N$20</formula>
    </cfRule>
  </conditionalFormatting>
  <conditionalFormatting pivot="1" sqref="I6:I27">
    <cfRule type="cellIs" dxfId="663" priority="2" operator="lessThan">
      <formula>$N$22</formula>
    </cfRule>
  </conditionalFormatting>
  <conditionalFormatting pivot="1" sqref="I6:I27">
    <cfRule type="cellIs" dxfId="662" priority="1" operator="between">
      <formula>$N$20</formula>
      <formula>$N$22</formula>
    </cfRule>
  </conditionalFormatting>
  <dataValidations count="1">
    <dataValidation type="decimal" allowBlank="1" showInputMessage="1" showErrorMessage="1" sqref="J6:K27">
      <formula1>0</formula1>
      <formula2>1000000</formula2>
    </dataValidation>
  </dataValidations>
  <pageMargins left="0.7" right="0.7" top="0.75" bottom="0.75" header="0.3" footer="0.3"/>
  <pageSetup orientation="portrait" r:id="rId2"/>
  <ignoredErrors>
    <ignoredError sqref="Q20:S23 P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zoomScaleNormal="100" workbookViewId="0">
      <selection activeCell="P42" sqref="P42"/>
    </sheetView>
  </sheetViews>
  <sheetFormatPr defaultRowHeight="12.75" x14ac:dyDescent="0.2"/>
  <cols>
    <col min="1" max="1" width="1.7109375" customWidth="1"/>
    <col min="2" max="2" width="57.5703125" customWidth="1"/>
    <col min="3" max="3" width="41" bestFit="1" customWidth="1"/>
    <col min="4" max="5" width="14.7109375" customWidth="1"/>
    <col min="6" max="6" width="8.140625" bestFit="1" customWidth="1"/>
    <col min="8" max="8" width="60.7109375" customWidth="1"/>
    <col min="9" max="9" width="40.7109375" customWidth="1"/>
    <col min="10" max="10" width="8.85546875" bestFit="1" customWidth="1"/>
    <col min="11" max="11" width="8.28515625" bestFit="1" customWidth="1"/>
    <col min="12" max="12" width="8.85546875" bestFit="1" customWidth="1"/>
    <col min="13" max="13" width="8.28515625" bestFit="1" customWidth="1"/>
    <col min="14" max="14" width="8.85546875" bestFit="1" customWidth="1"/>
    <col min="15" max="15" width="8.28515625" bestFit="1" customWidth="1"/>
  </cols>
  <sheetData>
    <row r="1" spans="2:15" ht="6" customHeight="1" x14ac:dyDescent="0.2"/>
    <row r="2" spans="2:15" ht="51.75" customHeight="1" x14ac:dyDescent="0.2"/>
    <row r="3" spans="2:15" ht="13.5" thickBot="1" x14ac:dyDescent="0.25"/>
    <row r="4" spans="2:15" ht="18.75" customHeight="1" thickBot="1" x14ac:dyDescent="0.25">
      <c r="B4" s="107"/>
      <c r="C4" s="108"/>
      <c r="D4" s="174" t="s">
        <v>64</v>
      </c>
      <c r="E4" s="108"/>
      <c r="H4" s="104"/>
      <c r="I4" s="105"/>
      <c r="J4" s="220" t="s">
        <v>125</v>
      </c>
      <c r="K4" s="220"/>
      <c r="L4" s="220" t="s">
        <v>126</v>
      </c>
      <c r="M4" s="220"/>
      <c r="N4" s="220" t="s">
        <v>127</v>
      </c>
      <c r="O4" s="220"/>
    </row>
    <row r="5" spans="2:15" ht="13.5" thickBot="1" x14ac:dyDescent="0.25">
      <c r="B5" s="121" t="s">
        <v>1</v>
      </c>
      <c r="C5" s="175" t="s">
        <v>0</v>
      </c>
      <c r="D5" s="123" t="s">
        <v>119</v>
      </c>
      <c r="E5" s="123" t="s">
        <v>124</v>
      </c>
      <c r="H5" s="159" t="s">
        <v>1</v>
      </c>
      <c r="I5" s="160" t="s">
        <v>0</v>
      </c>
      <c r="J5" s="127" t="s">
        <v>119</v>
      </c>
      <c r="K5" s="127" t="s">
        <v>110</v>
      </c>
      <c r="L5" s="179" t="s">
        <v>119</v>
      </c>
      <c r="M5" s="179" t="s">
        <v>110</v>
      </c>
      <c r="N5" s="179" t="s">
        <v>119</v>
      </c>
      <c r="O5" s="179" t="s">
        <v>110</v>
      </c>
    </row>
    <row r="6" spans="2:15" ht="26.25" thickBot="1" x14ac:dyDescent="0.25">
      <c r="B6" s="171" t="s">
        <v>47</v>
      </c>
      <c r="C6" s="122" t="s">
        <v>24</v>
      </c>
      <c r="D6" s="176">
        <v>448</v>
      </c>
      <c r="E6" s="168">
        <v>0.91428571428571426</v>
      </c>
      <c r="H6" s="180" t="s">
        <v>47</v>
      </c>
      <c r="I6" s="161" t="s">
        <v>24</v>
      </c>
      <c r="J6" s="162">
        <v>448</v>
      </c>
      <c r="K6" s="163">
        <v>0.91428571428571426</v>
      </c>
      <c r="L6" s="162">
        <f>+VLOOKUP($H6,$B$6:$E$27,3,FALSE)</f>
        <v>448</v>
      </c>
      <c r="M6" s="163">
        <f>+VLOOKUP($H6,$B$6:$E$27,4,FALSE)</f>
        <v>0.91428571428571426</v>
      </c>
      <c r="N6" s="162">
        <f>+L6-J6</f>
        <v>0</v>
      </c>
      <c r="O6" s="163">
        <f>+M6-K6</f>
        <v>0</v>
      </c>
    </row>
    <row r="7" spans="2:15" ht="26.25" thickBot="1" x14ac:dyDescent="0.25">
      <c r="B7" s="172" t="s">
        <v>45</v>
      </c>
      <c r="C7" s="122" t="s">
        <v>24</v>
      </c>
      <c r="D7" s="177">
        <v>442</v>
      </c>
      <c r="E7" s="169">
        <v>0.90204081632653066</v>
      </c>
      <c r="H7" s="181" t="s">
        <v>45</v>
      </c>
      <c r="I7" s="106" t="s">
        <v>24</v>
      </c>
      <c r="J7" s="116">
        <v>442</v>
      </c>
      <c r="K7" s="164">
        <v>0.90204081632653066</v>
      </c>
      <c r="L7" s="116">
        <f t="shared" ref="L7:L27" si="0">+VLOOKUP($H7,$B$6:$E$27,3,FALSE)</f>
        <v>442</v>
      </c>
      <c r="M7" s="164">
        <f t="shared" ref="M7:M27" si="1">+VLOOKUP($H7,$B$6:$E$27,4,FALSE)</f>
        <v>0.90204081632653066</v>
      </c>
      <c r="N7" s="116">
        <f t="shared" ref="N7:N27" si="2">+L7-J7</f>
        <v>0</v>
      </c>
      <c r="O7" s="164">
        <f t="shared" ref="O7:O27" si="3">+M7-K7</f>
        <v>0</v>
      </c>
    </row>
    <row r="8" spans="2:15" ht="13.5" thickBot="1" x14ac:dyDescent="0.25">
      <c r="B8" s="172" t="s">
        <v>62</v>
      </c>
      <c r="C8" s="122" t="s">
        <v>43</v>
      </c>
      <c r="D8" s="177">
        <v>441</v>
      </c>
      <c r="E8" s="169">
        <v>0.9</v>
      </c>
      <c r="H8" s="181" t="s">
        <v>62</v>
      </c>
      <c r="I8" s="106" t="s">
        <v>43</v>
      </c>
      <c r="J8" s="116">
        <v>441</v>
      </c>
      <c r="K8" s="164">
        <v>0.9</v>
      </c>
      <c r="L8" s="116">
        <f t="shared" si="0"/>
        <v>441</v>
      </c>
      <c r="M8" s="164">
        <f t="shared" si="1"/>
        <v>0.9</v>
      </c>
      <c r="N8" s="116">
        <f t="shared" si="2"/>
        <v>0</v>
      </c>
      <c r="O8" s="164">
        <f t="shared" si="3"/>
        <v>0</v>
      </c>
    </row>
    <row r="9" spans="2:15" ht="13.5" thickBot="1" x14ac:dyDescent="0.25">
      <c r="B9" s="172" t="s">
        <v>25</v>
      </c>
      <c r="C9" s="122" t="s">
        <v>24</v>
      </c>
      <c r="D9" s="177">
        <v>407</v>
      </c>
      <c r="E9" s="169">
        <v>0.89450549450549455</v>
      </c>
      <c r="H9" s="181" t="s">
        <v>25</v>
      </c>
      <c r="I9" s="106" t="s">
        <v>24</v>
      </c>
      <c r="J9" s="116">
        <v>407</v>
      </c>
      <c r="K9" s="164">
        <v>0.89450549450549455</v>
      </c>
      <c r="L9" s="116">
        <f t="shared" si="0"/>
        <v>407</v>
      </c>
      <c r="M9" s="164">
        <f t="shared" si="1"/>
        <v>0.89450549450549455</v>
      </c>
      <c r="N9" s="116">
        <f t="shared" si="2"/>
        <v>0</v>
      </c>
      <c r="O9" s="164">
        <f t="shared" si="3"/>
        <v>0</v>
      </c>
    </row>
    <row r="10" spans="2:15" ht="13.5" thickBot="1" x14ac:dyDescent="0.25">
      <c r="B10" s="172" t="s">
        <v>63</v>
      </c>
      <c r="C10" s="122" t="s">
        <v>43</v>
      </c>
      <c r="D10" s="177">
        <v>405</v>
      </c>
      <c r="E10" s="169">
        <v>0.89010989010989006</v>
      </c>
      <c r="H10" s="181" t="s">
        <v>63</v>
      </c>
      <c r="I10" s="106" t="s">
        <v>43</v>
      </c>
      <c r="J10" s="116">
        <v>405</v>
      </c>
      <c r="K10" s="164">
        <v>0.89010989010989006</v>
      </c>
      <c r="L10" s="116">
        <f t="shared" si="0"/>
        <v>405</v>
      </c>
      <c r="M10" s="164">
        <f t="shared" si="1"/>
        <v>0.89010989010989006</v>
      </c>
      <c r="N10" s="116">
        <f t="shared" si="2"/>
        <v>0</v>
      </c>
      <c r="O10" s="164">
        <f t="shared" si="3"/>
        <v>0</v>
      </c>
    </row>
    <row r="11" spans="2:15" ht="13.5" thickBot="1" x14ac:dyDescent="0.25">
      <c r="B11" s="172" t="s">
        <v>19</v>
      </c>
      <c r="C11" s="122" t="s">
        <v>18</v>
      </c>
      <c r="D11" s="177">
        <v>435</v>
      </c>
      <c r="E11" s="169">
        <v>0.88775510204081631</v>
      </c>
      <c r="H11" s="181" t="s">
        <v>19</v>
      </c>
      <c r="I11" s="106" t="s">
        <v>18</v>
      </c>
      <c r="J11" s="116">
        <v>435</v>
      </c>
      <c r="K11" s="164">
        <v>0.88775510204081631</v>
      </c>
      <c r="L11" s="116">
        <f t="shared" si="0"/>
        <v>435</v>
      </c>
      <c r="M11" s="164">
        <f t="shared" si="1"/>
        <v>0.88775510204081631</v>
      </c>
      <c r="N11" s="116">
        <f t="shared" si="2"/>
        <v>0</v>
      </c>
      <c r="O11" s="164">
        <f t="shared" si="3"/>
        <v>0</v>
      </c>
    </row>
    <row r="12" spans="2:15" ht="13.5" thickBot="1" x14ac:dyDescent="0.25">
      <c r="B12" s="172" t="s">
        <v>39</v>
      </c>
      <c r="C12" s="122" t="s">
        <v>38</v>
      </c>
      <c r="D12" s="177">
        <v>435</v>
      </c>
      <c r="E12" s="169">
        <v>0.88775510204081631</v>
      </c>
      <c r="H12" s="181" t="s">
        <v>39</v>
      </c>
      <c r="I12" s="106" t="s">
        <v>38</v>
      </c>
      <c r="J12" s="116">
        <v>435</v>
      </c>
      <c r="K12" s="164">
        <v>0.88775510204081631</v>
      </c>
      <c r="L12" s="116">
        <f t="shared" si="0"/>
        <v>435</v>
      </c>
      <c r="M12" s="164">
        <f t="shared" si="1"/>
        <v>0.88775510204081631</v>
      </c>
      <c r="N12" s="116">
        <f t="shared" si="2"/>
        <v>0</v>
      </c>
      <c r="O12" s="164">
        <f t="shared" si="3"/>
        <v>0</v>
      </c>
    </row>
    <row r="13" spans="2:15" ht="26.25" thickBot="1" x14ac:dyDescent="0.25">
      <c r="B13" s="172" t="s">
        <v>60</v>
      </c>
      <c r="C13" s="122" t="s">
        <v>16</v>
      </c>
      <c r="D13" s="177">
        <v>435</v>
      </c>
      <c r="E13" s="169">
        <v>0.88775510204081631</v>
      </c>
      <c r="H13" s="181" t="s">
        <v>60</v>
      </c>
      <c r="I13" s="106" t="s">
        <v>16</v>
      </c>
      <c r="J13" s="116">
        <v>435</v>
      </c>
      <c r="K13" s="164">
        <v>0.88775510204081631</v>
      </c>
      <c r="L13" s="116">
        <f t="shared" si="0"/>
        <v>435</v>
      </c>
      <c r="M13" s="164">
        <f t="shared" si="1"/>
        <v>0.88775510204081631</v>
      </c>
      <c r="N13" s="116">
        <f t="shared" si="2"/>
        <v>0</v>
      </c>
      <c r="O13" s="164">
        <f t="shared" si="3"/>
        <v>0</v>
      </c>
    </row>
    <row r="14" spans="2:15" ht="26.25" thickBot="1" x14ac:dyDescent="0.25">
      <c r="B14" s="172" t="s">
        <v>40</v>
      </c>
      <c r="C14" s="122" t="s">
        <v>24</v>
      </c>
      <c r="D14" s="177">
        <v>434</v>
      </c>
      <c r="E14" s="169">
        <v>0.88571428571428568</v>
      </c>
      <c r="H14" s="181" t="s">
        <v>40</v>
      </c>
      <c r="I14" s="106" t="s">
        <v>24</v>
      </c>
      <c r="J14" s="116">
        <v>434</v>
      </c>
      <c r="K14" s="164">
        <v>0.88571428571428568</v>
      </c>
      <c r="L14" s="116">
        <f t="shared" si="0"/>
        <v>434</v>
      </c>
      <c r="M14" s="164">
        <f t="shared" si="1"/>
        <v>0.88571428571428568</v>
      </c>
      <c r="N14" s="116">
        <f t="shared" si="2"/>
        <v>0</v>
      </c>
      <c r="O14" s="164">
        <f t="shared" si="3"/>
        <v>0</v>
      </c>
    </row>
    <row r="15" spans="2:15" ht="26.25" thickBot="1" x14ac:dyDescent="0.25">
      <c r="B15" s="172" t="s">
        <v>61</v>
      </c>
      <c r="C15" s="122" t="s">
        <v>43</v>
      </c>
      <c r="D15" s="177">
        <v>393</v>
      </c>
      <c r="E15" s="169">
        <v>0.86373626373626378</v>
      </c>
      <c r="H15" s="181" t="s">
        <v>61</v>
      </c>
      <c r="I15" s="106" t="s">
        <v>43</v>
      </c>
      <c r="J15" s="116">
        <v>393</v>
      </c>
      <c r="K15" s="164">
        <v>0.86373626373626378</v>
      </c>
      <c r="L15" s="116">
        <f t="shared" si="0"/>
        <v>393</v>
      </c>
      <c r="M15" s="164">
        <f t="shared" si="1"/>
        <v>0.86373626373626378</v>
      </c>
      <c r="N15" s="116">
        <f t="shared" si="2"/>
        <v>0</v>
      </c>
      <c r="O15" s="164">
        <f t="shared" si="3"/>
        <v>0</v>
      </c>
    </row>
    <row r="16" spans="2:15" ht="13.5" thickBot="1" x14ac:dyDescent="0.25">
      <c r="B16" s="172" t="s">
        <v>33</v>
      </c>
      <c r="C16" s="122" t="s">
        <v>32</v>
      </c>
      <c r="D16" s="177">
        <v>423</v>
      </c>
      <c r="E16" s="169">
        <v>0.86326530612244901</v>
      </c>
      <c r="H16" s="181" t="s">
        <v>33</v>
      </c>
      <c r="I16" s="106" t="s">
        <v>32</v>
      </c>
      <c r="J16" s="116">
        <v>423</v>
      </c>
      <c r="K16" s="164">
        <v>0.86326530612244901</v>
      </c>
      <c r="L16" s="116">
        <f t="shared" si="0"/>
        <v>423</v>
      </c>
      <c r="M16" s="164">
        <f t="shared" si="1"/>
        <v>0.86326530612244901</v>
      </c>
      <c r="N16" s="116">
        <f t="shared" si="2"/>
        <v>0</v>
      </c>
      <c r="O16" s="164">
        <f t="shared" si="3"/>
        <v>0</v>
      </c>
    </row>
    <row r="17" spans="2:15" ht="26.25" thickBot="1" x14ac:dyDescent="0.25">
      <c r="B17" s="172" t="s">
        <v>42</v>
      </c>
      <c r="C17" s="122" t="s">
        <v>41</v>
      </c>
      <c r="D17" s="177">
        <v>386</v>
      </c>
      <c r="E17" s="169">
        <v>0.84835164835164834</v>
      </c>
      <c r="H17" s="181" t="s">
        <v>42</v>
      </c>
      <c r="I17" s="106" t="s">
        <v>41</v>
      </c>
      <c r="J17" s="116">
        <v>386</v>
      </c>
      <c r="K17" s="164">
        <v>0.84835164835164834</v>
      </c>
      <c r="L17" s="116">
        <f t="shared" si="0"/>
        <v>386</v>
      </c>
      <c r="M17" s="164">
        <f t="shared" si="1"/>
        <v>0.84835164835164834</v>
      </c>
      <c r="N17" s="116">
        <f t="shared" si="2"/>
        <v>0</v>
      </c>
      <c r="O17" s="164">
        <f t="shared" si="3"/>
        <v>0</v>
      </c>
    </row>
    <row r="18" spans="2:15" ht="13.5" thickBot="1" x14ac:dyDescent="0.25">
      <c r="B18" s="172" t="s">
        <v>50</v>
      </c>
      <c r="C18" s="122" t="s">
        <v>59</v>
      </c>
      <c r="D18" s="177">
        <v>385</v>
      </c>
      <c r="E18" s="169">
        <v>0.84615384615384615</v>
      </c>
      <c r="H18" s="181" t="s">
        <v>50</v>
      </c>
      <c r="I18" s="106" t="s">
        <v>59</v>
      </c>
      <c r="J18" s="116">
        <v>385</v>
      </c>
      <c r="K18" s="164">
        <v>0.84615384615384615</v>
      </c>
      <c r="L18" s="116">
        <f t="shared" si="0"/>
        <v>385</v>
      </c>
      <c r="M18" s="164">
        <f t="shared" si="1"/>
        <v>0.84615384615384615</v>
      </c>
      <c r="N18" s="116">
        <f t="shared" si="2"/>
        <v>0</v>
      </c>
      <c r="O18" s="164">
        <f t="shared" si="3"/>
        <v>0</v>
      </c>
    </row>
    <row r="19" spans="2:15" ht="26.25" thickBot="1" x14ac:dyDescent="0.25">
      <c r="B19" s="172" t="s">
        <v>37</v>
      </c>
      <c r="C19" s="122" t="s">
        <v>36</v>
      </c>
      <c r="D19" s="177">
        <v>406</v>
      </c>
      <c r="E19" s="169">
        <v>0.82857142857142863</v>
      </c>
      <c r="H19" s="181" t="s">
        <v>37</v>
      </c>
      <c r="I19" s="106" t="s">
        <v>36</v>
      </c>
      <c r="J19" s="116">
        <v>406</v>
      </c>
      <c r="K19" s="164">
        <v>0.82857142857142863</v>
      </c>
      <c r="L19" s="116">
        <f t="shared" si="0"/>
        <v>406</v>
      </c>
      <c r="M19" s="164">
        <f t="shared" si="1"/>
        <v>0.82857142857142863</v>
      </c>
      <c r="N19" s="116">
        <f t="shared" si="2"/>
        <v>0</v>
      </c>
      <c r="O19" s="164">
        <f t="shared" si="3"/>
        <v>0</v>
      </c>
    </row>
    <row r="20" spans="2:15" ht="13.5" thickBot="1" x14ac:dyDescent="0.25">
      <c r="B20" s="172" t="s">
        <v>31</v>
      </c>
      <c r="C20" s="122" t="s">
        <v>56</v>
      </c>
      <c r="D20" s="177">
        <v>405</v>
      </c>
      <c r="E20" s="169">
        <v>0.82653061224489799</v>
      </c>
      <c r="H20" s="181" t="s">
        <v>31</v>
      </c>
      <c r="I20" s="106" t="s">
        <v>56</v>
      </c>
      <c r="J20" s="116">
        <v>405</v>
      </c>
      <c r="K20" s="164">
        <v>0.82653061224489799</v>
      </c>
      <c r="L20" s="116">
        <f t="shared" si="0"/>
        <v>405</v>
      </c>
      <c r="M20" s="164">
        <f t="shared" si="1"/>
        <v>0.82653061224489799</v>
      </c>
      <c r="N20" s="116">
        <f t="shared" si="2"/>
        <v>0</v>
      </c>
      <c r="O20" s="164">
        <f t="shared" si="3"/>
        <v>0</v>
      </c>
    </row>
    <row r="21" spans="2:15" ht="26.25" thickBot="1" x14ac:dyDescent="0.25">
      <c r="B21" s="172" t="s">
        <v>12</v>
      </c>
      <c r="C21" s="122" t="s">
        <v>11</v>
      </c>
      <c r="D21" s="177">
        <v>366</v>
      </c>
      <c r="E21" s="169">
        <v>0.81333333333333335</v>
      </c>
      <c r="H21" s="181" t="s">
        <v>12</v>
      </c>
      <c r="I21" s="106" t="s">
        <v>11</v>
      </c>
      <c r="J21" s="116">
        <v>366</v>
      </c>
      <c r="K21" s="164">
        <v>0.81333333333333335</v>
      </c>
      <c r="L21" s="116">
        <f t="shared" si="0"/>
        <v>366</v>
      </c>
      <c r="M21" s="164">
        <f t="shared" si="1"/>
        <v>0.81333333333333335</v>
      </c>
      <c r="N21" s="116">
        <f t="shared" si="2"/>
        <v>0</v>
      </c>
      <c r="O21" s="164">
        <f t="shared" si="3"/>
        <v>0</v>
      </c>
    </row>
    <row r="22" spans="2:15" ht="13.5" thickBot="1" x14ac:dyDescent="0.25">
      <c r="B22" s="172" t="s">
        <v>23</v>
      </c>
      <c r="C22" s="122" t="s">
        <v>22</v>
      </c>
      <c r="D22" s="177">
        <v>362</v>
      </c>
      <c r="E22" s="169">
        <v>0.79560439560439555</v>
      </c>
      <c r="H22" s="181" t="s">
        <v>23</v>
      </c>
      <c r="I22" s="106" t="s">
        <v>22</v>
      </c>
      <c r="J22" s="116">
        <v>362</v>
      </c>
      <c r="K22" s="164">
        <v>0.79560439560439555</v>
      </c>
      <c r="L22" s="116">
        <f t="shared" si="0"/>
        <v>362</v>
      </c>
      <c r="M22" s="164">
        <f t="shared" si="1"/>
        <v>0.79560439560439555</v>
      </c>
      <c r="N22" s="116">
        <f t="shared" si="2"/>
        <v>0</v>
      </c>
      <c r="O22" s="164">
        <f t="shared" si="3"/>
        <v>0</v>
      </c>
    </row>
    <row r="23" spans="2:15" ht="13.5" thickBot="1" x14ac:dyDescent="0.25">
      <c r="B23" s="172" t="s">
        <v>15</v>
      </c>
      <c r="C23" s="122" t="s">
        <v>14</v>
      </c>
      <c r="D23" s="177">
        <v>375</v>
      </c>
      <c r="E23" s="169">
        <v>0.76530612244897955</v>
      </c>
      <c r="H23" s="181" t="s">
        <v>15</v>
      </c>
      <c r="I23" s="106" t="s">
        <v>14</v>
      </c>
      <c r="J23" s="116">
        <v>375</v>
      </c>
      <c r="K23" s="164">
        <v>0.76530612244897955</v>
      </c>
      <c r="L23" s="116">
        <f t="shared" si="0"/>
        <v>375</v>
      </c>
      <c r="M23" s="164">
        <f t="shared" si="1"/>
        <v>0.76530612244897955</v>
      </c>
      <c r="N23" s="116">
        <f t="shared" si="2"/>
        <v>0</v>
      </c>
      <c r="O23" s="164">
        <f t="shared" si="3"/>
        <v>0</v>
      </c>
    </row>
    <row r="24" spans="2:15" ht="13.5" thickBot="1" x14ac:dyDescent="0.25">
      <c r="B24" s="172" t="s">
        <v>35</v>
      </c>
      <c r="C24" s="122" t="s">
        <v>34</v>
      </c>
      <c r="D24" s="177">
        <v>368</v>
      </c>
      <c r="E24" s="169">
        <v>0.75102040816326532</v>
      </c>
      <c r="H24" s="181" t="s">
        <v>35</v>
      </c>
      <c r="I24" s="106" t="s">
        <v>34</v>
      </c>
      <c r="J24" s="116">
        <v>368</v>
      </c>
      <c r="K24" s="164">
        <v>0.75102040816326532</v>
      </c>
      <c r="L24" s="116">
        <f t="shared" si="0"/>
        <v>368</v>
      </c>
      <c r="M24" s="164">
        <f t="shared" si="1"/>
        <v>0.75102040816326532</v>
      </c>
      <c r="N24" s="116">
        <f t="shared" si="2"/>
        <v>0</v>
      </c>
      <c r="O24" s="164">
        <f t="shared" si="3"/>
        <v>0</v>
      </c>
    </row>
    <row r="25" spans="2:15" ht="26.25" thickBot="1" x14ac:dyDescent="0.25">
      <c r="B25" s="172" t="s">
        <v>27</v>
      </c>
      <c r="C25" s="122" t="s">
        <v>26</v>
      </c>
      <c r="D25" s="177">
        <v>367</v>
      </c>
      <c r="E25" s="169">
        <v>0.74897959183673468</v>
      </c>
      <c r="H25" s="181" t="s">
        <v>27</v>
      </c>
      <c r="I25" s="106" t="s">
        <v>26</v>
      </c>
      <c r="J25" s="116">
        <v>367</v>
      </c>
      <c r="K25" s="164">
        <v>0.74897959183673468</v>
      </c>
      <c r="L25" s="116">
        <f t="shared" si="0"/>
        <v>367</v>
      </c>
      <c r="M25" s="164">
        <f t="shared" si="1"/>
        <v>0.74897959183673468</v>
      </c>
      <c r="N25" s="116">
        <f t="shared" si="2"/>
        <v>0</v>
      </c>
      <c r="O25" s="164">
        <f t="shared" si="3"/>
        <v>0</v>
      </c>
    </row>
    <row r="26" spans="2:15" ht="13.5" thickBot="1" x14ac:dyDescent="0.25">
      <c r="B26" s="172" t="s">
        <v>21</v>
      </c>
      <c r="C26" s="122" t="s">
        <v>20</v>
      </c>
      <c r="D26" s="177">
        <v>357</v>
      </c>
      <c r="E26" s="169">
        <v>0.72857142857142854</v>
      </c>
      <c r="H26" s="181" t="s">
        <v>21</v>
      </c>
      <c r="I26" s="106" t="s">
        <v>20</v>
      </c>
      <c r="J26" s="116">
        <v>357</v>
      </c>
      <c r="K26" s="164">
        <v>0.72857142857142854</v>
      </c>
      <c r="L26" s="116">
        <f t="shared" si="0"/>
        <v>357</v>
      </c>
      <c r="M26" s="164">
        <f t="shared" si="1"/>
        <v>0.72857142857142854</v>
      </c>
      <c r="N26" s="116">
        <f t="shared" si="2"/>
        <v>0</v>
      </c>
      <c r="O26" s="164">
        <f t="shared" si="3"/>
        <v>0</v>
      </c>
    </row>
    <row r="27" spans="2:15" ht="26.25" thickBot="1" x14ac:dyDescent="0.25">
      <c r="B27" s="173" t="s">
        <v>29</v>
      </c>
      <c r="C27" s="122" t="s">
        <v>28</v>
      </c>
      <c r="D27" s="178">
        <v>309</v>
      </c>
      <c r="E27" s="170">
        <v>0.6306122448979592</v>
      </c>
      <c r="H27" s="182" t="s">
        <v>29</v>
      </c>
      <c r="I27" s="165" t="s">
        <v>28</v>
      </c>
      <c r="J27" s="166">
        <v>309</v>
      </c>
      <c r="K27" s="167">
        <v>0.6306122448979592</v>
      </c>
      <c r="L27" s="166">
        <f t="shared" si="0"/>
        <v>309</v>
      </c>
      <c r="M27" s="167">
        <f t="shared" si="1"/>
        <v>0.6306122448979592</v>
      </c>
      <c r="N27" s="166">
        <f t="shared" si="2"/>
        <v>0</v>
      </c>
      <c r="O27" s="167">
        <f t="shared" si="3"/>
        <v>0</v>
      </c>
    </row>
    <row r="28" spans="2:15" ht="6" customHeight="1" x14ac:dyDescent="0.2"/>
  </sheetData>
  <mergeCells count="3">
    <mergeCell ref="J4:K4"/>
    <mergeCell ref="L4:M4"/>
    <mergeCell ref="N4:O4"/>
  </mergeCells>
  <conditionalFormatting pivot="1" sqref="E6:E27">
    <cfRule type="cellIs" dxfId="465" priority="20" operator="greaterThan">
      <formula>#REF!</formula>
    </cfRule>
  </conditionalFormatting>
  <conditionalFormatting pivot="1" sqref="E6:E27">
    <cfRule type="cellIs" dxfId="464" priority="21" operator="lessThan">
      <formula>#REF!</formula>
    </cfRule>
  </conditionalFormatting>
  <conditionalFormatting pivot="1" sqref="E6:E27">
    <cfRule type="cellIs" dxfId="463" priority="22" operator="between">
      <formula>#REF!</formula>
      <formula>#REF!</formula>
    </cfRule>
  </conditionalFormatting>
  <conditionalFormatting sqref="K6:K27">
    <cfRule type="cellIs" dxfId="462" priority="7" operator="greaterThan">
      <formula>#REF!</formula>
    </cfRule>
  </conditionalFormatting>
  <conditionalFormatting sqref="K6:K27">
    <cfRule type="cellIs" dxfId="461" priority="8" operator="lessThan">
      <formula>#REF!</formula>
    </cfRule>
  </conditionalFormatting>
  <conditionalFormatting sqref="K6:K27">
    <cfRule type="cellIs" dxfId="460" priority="9" operator="between">
      <formula>#REF!</formula>
      <formula>#REF!</formula>
    </cfRule>
  </conditionalFormatting>
  <conditionalFormatting sqref="M6:M27">
    <cfRule type="cellIs" dxfId="459" priority="4" operator="greaterThan">
      <formula>#REF!</formula>
    </cfRule>
  </conditionalFormatting>
  <conditionalFormatting sqref="M6:M27">
    <cfRule type="cellIs" dxfId="458" priority="5" operator="lessThan">
      <formula>#REF!</formula>
    </cfRule>
  </conditionalFormatting>
  <conditionalFormatting sqref="M6:M27">
    <cfRule type="cellIs" dxfId="457" priority="6" operator="between">
      <formula>#REF!</formula>
      <formula>#REF!</formula>
    </cfRule>
  </conditionalFormatting>
  <conditionalFormatting sqref="O6:O27">
    <cfRule type="cellIs" dxfId="456" priority="1" operator="greaterThan">
      <formula>#REF!</formula>
    </cfRule>
  </conditionalFormatting>
  <conditionalFormatting sqref="O6:O27">
    <cfRule type="cellIs" dxfId="455" priority="2" operator="lessThan">
      <formula>#REF!</formula>
    </cfRule>
  </conditionalFormatting>
  <conditionalFormatting sqref="O6:O27">
    <cfRule type="cellIs" dxfId="454" priority="3" operator="between">
      <formula>#REF!</formula>
      <formula>#REF!</formula>
    </cfRule>
  </conditionalFormatting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showGridLines="0" showRowColHeaders="0" zoomScale="110" zoomScaleNormal="110" workbookViewId="0">
      <selection activeCell="P42" sqref="P42"/>
    </sheetView>
  </sheetViews>
  <sheetFormatPr defaultRowHeight="12.75" x14ac:dyDescent="0.2"/>
  <cols>
    <col min="1" max="1" width="1.7109375" customWidth="1"/>
    <col min="2" max="2" width="57.5703125" customWidth="1"/>
    <col min="3" max="3" width="41" bestFit="1" customWidth="1"/>
    <col min="4" max="4" width="11.28515625" bestFit="1" customWidth="1"/>
    <col min="5" max="12" width="9.7109375" customWidth="1"/>
  </cols>
  <sheetData>
    <row r="1" spans="2:13" ht="13.5" thickBot="1" x14ac:dyDescent="0.25"/>
    <row r="2" spans="2:13" ht="13.5" thickBot="1" x14ac:dyDescent="0.25">
      <c r="B2" s="31"/>
      <c r="C2" s="76"/>
      <c r="D2" s="77" t="s">
        <v>64</v>
      </c>
      <c r="E2" s="32"/>
      <c r="F2" s="32"/>
      <c r="G2" s="32"/>
      <c r="H2" s="32"/>
      <c r="I2" s="32"/>
      <c r="J2" s="32"/>
      <c r="K2" s="32"/>
      <c r="L2" s="32"/>
    </row>
    <row r="3" spans="2:13" ht="26.25" thickBot="1" x14ac:dyDescent="0.25">
      <c r="B3" s="78" t="s">
        <v>0</v>
      </c>
      <c r="C3" s="78" t="s">
        <v>1</v>
      </c>
      <c r="D3" s="183" t="s">
        <v>67</v>
      </c>
      <c r="E3" s="86" t="s">
        <v>2</v>
      </c>
      <c r="F3" s="86" t="s">
        <v>3</v>
      </c>
      <c r="G3" s="86" t="s">
        <v>4</v>
      </c>
      <c r="H3" s="86" t="s">
        <v>5</v>
      </c>
      <c r="I3" s="86" t="s">
        <v>6</v>
      </c>
      <c r="J3" s="86" t="s">
        <v>114</v>
      </c>
      <c r="K3" s="86" t="s">
        <v>8</v>
      </c>
      <c r="L3" s="90" t="s">
        <v>115</v>
      </c>
    </row>
    <row r="4" spans="2:13" ht="38.25" x14ac:dyDescent="0.2">
      <c r="B4" s="22" t="s">
        <v>11</v>
      </c>
      <c r="C4" s="79" t="s">
        <v>12</v>
      </c>
      <c r="D4" s="71">
        <v>693288</v>
      </c>
      <c r="E4" s="88">
        <v>0.86153846153846159</v>
      </c>
      <c r="F4" s="88">
        <v>0.75384615384615383</v>
      </c>
      <c r="G4" s="88">
        <v>0.76923076923076927</v>
      </c>
      <c r="H4" s="88">
        <v>0.83076923076923082</v>
      </c>
      <c r="I4" s="88">
        <v>0.84615384615384615</v>
      </c>
      <c r="J4" s="88">
        <v>0.8</v>
      </c>
      <c r="K4" s="88">
        <v>0.83076923076923082</v>
      </c>
      <c r="L4" s="49">
        <v>0.81333333333333335</v>
      </c>
      <c r="M4" s="64"/>
    </row>
    <row r="5" spans="2:13" x14ac:dyDescent="0.2">
      <c r="B5" s="22" t="s">
        <v>14</v>
      </c>
      <c r="C5" s="80" t="s">
        <v>15</v>
      </c>
      <c r="D5" s="72">
        <v>163100</v>
      </c>
      <c r="E5" s="84">
        <v>0.84285714285714286</v>
      </c>
      <c r="F5" s="84">
        <v>0.7</v>
      </c>
      <c r="G5" s="84">
        <v>0.77142857142857146</v>
      </c>
      <c r="H5" s="84">
        <v>0.7</v>
      </c>
      <c r="I5" s="84">
        <v>0.82857142857142863</v>
      </c>
      <c r="J5" s="84">
        <v>0.72857142857142854</v>
      </c>
      <c r="K5" s="84">
        <v>0.7857142857142857</v>
      </c>
      <c r="L5" s="47">
        <v>0.76530612244897955</v>
      </c>
    </row>
    <row r="6" spans="2:13" x14ac:dyDescent="0.2">
      <c r="B6" s="22" t="s">
        <v>22</v>
      </c>
      <c r="C6" s="80" t="s">
        <v>23</v>
      </c>
      <c r="D6" s="72">
        <v>111028</v>
      </c>
      <c r="E6" s="84">
        <v>0.83076923076923082</v>
      </c>
      <c r="F6" s="84">
        <v>0.76923076923076927</v>
      </c>
      <c r="G6" s="84">
        <v>0.76923076923076927</v>
      </c>
      <c r="H6" s="84">
        <v>0.7846153846153846</v>
      </c>
      <c r="I6" s="84">
        <v>0.7846153846153846</v>
      </c>
      <c r="J6" s="84">
        <v>0.81538461538461537</v>
      </c>
      <c r="K6" s="84">
        <v>0.81538461538461537</v>
      </c>
      <c r="L6" s="47">
        <v>0.79560439560439555</v>
      </c>
    </row>
    <row r="7" spans="2:13" ht="25.5" x14ac:dyDescent="0.2">
      <c r="B7" s="22" t="s">
        <v>38</v>
      </c>
      <c r="C7" s="80" t="s">
        <v>39</v>
      </c>
      <c r="D7" s="72">
        <v>375000</v>
      </c>
      <c r="E7" s="84">
        <v>0.9285714285714286</v>
      </c>
      <c r="F7" s="84">
        <v>0.88571428571428568</v>
      </c>
      <c r="G7" s="84">
        <v>0.84285714285714286</v>
      </c>
      <c r="H7" s="84">
        <v>0.8</v>
      </c>
      <c r="I7" s="84">
        <v>0.95714285714285718</v>
      </c>
      <c r="J7" s="84">
        <v>0.88571428571428568</v>
      </c>
      <c r="K7" s="84">
        <v>0.91428571428571426</v>
      </c>
      <c r="L7" s="47">
        <v>0.88775510204081631</v>
      </c>
    </row>
    <row r="8" spans="2:13" ht="38.25" x14ac:dyDescent="0.2">
      <c r="B8" s="22" t="s">
        <v>24</v>
      </c>
      <c r="C8" s="80" t="s">
        <v>47</v>
      </c>
      <c r="D8" s="72">
        <v>392109</v>
      </c>
      <c r="E8" s="84">
        <v>0.91428571428571426</v>
      </c>
      <c r="F8" s="84">
        <v>0.9</v>
      </c>
      <c r="G8" s="84">
        <v>0.87142857142857144</v>
      </c>
      <c r="H8" s="84">
        <v>0.94285714285714284</v>
      </c>
      <c r="I8" s="84">
        <v>0.94285714285714284</v>
      </c>
      <c r="J8" s="84">
        <v>0.91428571428571426</v>
      </c>
      <c r="K8" s="84">
        <v>0.91428571428571426</v>
      </c>
      <c r="L8" s="47">
        <v>0.91428571428571426</v>
      </c>
    </row>
    <row r="9" spans="2:13" ht="38.25" x14ac:dyDescent="0.2">
      <c r="B9" s="22" t="s">
        <v>24</v>
      </c>
      <c r="C9" s="80" t="s">
        <v>45</v>
      </c>
      <c r="D9" s="72">
        <v>529389</v>
      </c>
      <c r="E9" s="84">
        <v>0.9285714285714286</v>
      </c>
      <c r="F9" s="84">
        <v>0.9</v>
      </c>
      <c r="G9" s="84">
        <v>0.9</v>
      </c>
      <c r="H9" s="84">
        <v>0.91428571428571426</v>
      </c>
      <c r="I9" s="84">
        <v>0.91428571428571426</v>
      </c>
      <c r="J9" s="84">
        <v>0.84285714285714286</v>
      </c>
      <c r="K9" s="84">
        <v>0.91428571428571426</v>
      </c>
      <c r="L9" s="47">
        <v>0.90204081632653066</v>
      </c>
    </row>
    <row r="10" spans="2:13" x14ac:dyDescent="0.2">
      <c r="B10" s="22" t="s">
        <v>24</v>
      </c>
      <c r="C10" s="80" t="s">
        <v>25</v>
      </c>
      <c r="D10" s="72">
        <v>4999.3399999999983</v>
      </c>
      <c r="E10" s="84">
        <v>0.89230769230769236</v>
      </c>
      <c r="F10" s="84">
        <v>0.89230769230769236</v>
      </c>
      <c r="G10" s="84">
        <v>0.84615384615384615</v>
      </c>
      <c r="H10" s="84">
        <v>0.92307692307692313</v>
      </c>
      <c r="I10" s="84">
        <v>0.93846153846153846</v>
      </c>
      <c r="J10" s="84">
        <v>0.89230769230769236</v>
      </c>
      <c r="K10" s="84">
        <v>0.87692307692307692</v>
      </c>
      <c r="L10" s="47">
        <v>0.89450549450549455</v>
      </c>
    </row>
    <row r="11" spans="2:13" ht="38.25" x14ac:dyDescent="0.2">
      <c r="B11" s="22" t="s">
        <v>24</v>
      </c>
      <c r="C11" s="80" t="s">
        <v>40</v>
      </c>
      <c r="D11" s="72">
        <v>138262</v>
      </c>
      <c r="E11" s="84">
        <v>0.95714285714285718</v>
      </c>
      <c r="F11" s="84">
        <v>0.87142857142857144</v>
      </c>
      <c r="G11" s="84">
        <v>0.81428571428571428</v>
      </c>
      <c r="H11" s="84">
        <v>0.88571428571428568</v>
      </c>
      <c r="I11" s="84">
        <v>0.9285714285714286</v>
      </c>
      <c r="J11" s="84">
        <v>0.84285714285714286</v>
      </c>
      <c r="K11" s="84">
        <v>0.9</v>
      </c>
      <c r="L11" s="47">
        <v>0.88571428571428568</v>
      </c>
    </row>
    <row r="12" spans="2:13" ht="25.5" x14ac:dyDescent="0.2">
      <c r="B12" s="22" t="s">
        <v>43</v>
      </c>
      <c r="C12" s="80" t="s">
        <v>62</v>
      </c>
      <c r="D12" s="72">
        <v>179483</v>
      </c>
      <c r="E12" s="84">
        <v>0.9285714285714286</v>
      </c>
      <c r="F12" s="84">
        <v>0.87142857142857144</v>
      </c>
      <c r="G12" s="84">
        <v>0.88571428571428568</v>
      </c>
      <c r="H12" s="84">
        <v>0.9</v>
      </c>
      <c r="I12" s="84">
        <v>0.9</v>
      </c>
      <c r="J12" s="84">
        <v>0.88571428571428568</v>
      </c>
      <c r="K12" s="84">
        <v>0.9285714285714286</v>
      </c>
      <c r="L12" s="47">
        <v>0.9</v>
      </c>
    </row>
    <row r="13" spans="2:13" ht="25.5" x14ac:dyDescent="0.2">
      <c r="B13" s="22" t="s">
        <v>43</v>
      </c>
      <c r="C13" s="80" t="s">
        <v>63</v>
      </c>
      <c r="D13" s="72">
        <v>28926</v>
      </c>
      <c r="E13" s="84">
        <v>0.92307692307692313</v>
      </c>
      <c r="F13" s="84">
        <v>0.84615384615384615</v>
      </c>
      <c r="G13" s="84">
        <v>0.86153846153846159</v>
      </c>
      <c r="H13" s="84">
        <v>0.93846153846153846</v>
      </c>
      <c r="I13" s="84">
        <v>0.84615384615384615</v>
      </c>
      <c r="J13" s="84">
        <v>0.89230769230769236</v>
      </c>
      <c r="K13" s="84">
        <v>0.92307692307692313</v>
      </c>
      <c r="L13" s="47">
        <v>0.89010989010989006</v>
      </c>
    </row>
    <row r="14" spans="2:13" ht="25.5" x14ac:dyDescent="0.2">
      <c r="B14" s="22" t="s">
        <v>43</v>
      </c>
      <c r="C14" s="80" t="s">
        <v>61</v>
      </c>
      <c r="D14" s="72">
        <v>153000</v>
      </c>
      <c r="E14" s="84">
        <v>0.89230769230769236</v>
      </c>
      <c r="F14" s="84">
        <v>0.86153846153846159</v>
      </c>
      <c r="G14" s="84">
        <v>0.81538461538461537</v>
      </c>
      <c r="H14" s="84">
        <v>0.89230769230769236</v>
      </c>
      <c r="I14" s="84">
        <v>0.84615384615384615</v>
      </c>
      <c r="J14" s="84">
        <v>0.84615384615384615</v>
      </c>
      <c r="K14" s="84">
        <v>0.89230769230769236</v>
      </c>
      <c r="L14" s="47">
        <v>0.86373626373626378</v>
      </c>
    </row>
    <row r="15" spans="2:13" ht="25.5" x14ac:dyDescent="0.2">
      <c r="B15" s="22" t="s">
        <v>16</v>
      </c>
      <c r="C15" s="80" t="s">
        <v>60</v>
      </c>
      <c r="D15" s="72">
        <v>143160</v>
      </c>
      <c r="E15" s="84">
        <v>0.88571428571428568</v>
      </c>
      <c r="F15" s="84">
        <v>0.8571428571428571</v>
      </c>
      <c r="G15" s="84">
        <v>0.88571428571428568</v>
      </c>
      <c r="H15" s="84">
        <v>0.91428571428571426</v>
      </c>
      <c r="I15" s="84">
        <v>0.9</v>
      </c>
      <c r="J15" s="84">
        <v>0.87142857142857144</v>
      </c>
      <c r="K15" s="84">
        <v>0.9</v>
      </c>
      <c r="L15" s="47">
        <v>0.88775510204081631</v>
      </c>
    </row>
    <row r="16" spans="2:13" ht="38.25" x14ac:dyDescent="0.2">
      <c r="B16" s="22" t="s">
        <v>41</v>
      </c>
      <c r="C16" s="80" t="s">
        <v>42</v>
      </c>
      <c r="D16" s="72">
        <v>1000000</v>
      </c>
      <c r="E16" s="84">
        <v>0.92307692307692313</v>
      </c>
      <c r="F16" s="84">
        <v>0.81538461538461537</v>
      </c>
      <c r="G16" s="84">
        <v>0.89230769230769236</v>
      </c>
      <c r="H16" s="84">
        <v>0.86153846153846159</v>
      </c>
      <c r="I16" s="84">
        <v>0.84615384615384615</v>
      </c>
      <c r="J16" s="84">
        <v>0.7846153846153846</v>
      </c>
      <c r="K16" s="84">
        <v>0.81538461538461537</v>
      </c>
      <c r="L16" s="47">
        <v>0.84835164835164834</v>
      </c>
    </row>
    <row r="17" spans="2:12" x14ac:dyDescent="0.2">
      <c r="B17" s="22" t="s">
        <v>18</v>
      </c>
      <c r="C17" s="80" t="s">
        <v>19</v>
      </c>
      <c r="D17" s="72">
        <v>36000</v>
      </c>
      <c r="E17" s="84">
        <v>0.91428571428571426</v>
      </c>
      <c r="F17" s="84">
        <v>0.88571428571428568</v>
      </c>
      <c r="G17" s="84">
        <v>0.77142857142857146</v>
      </c>
      <c r="H17" s="84">
        <v>0.87142857142857144</v>
      </c>
      <c r="I17" s="84">
        <v>0.97142857142857142</v>
      </c>
      <c r="J17" s="84">
        <v>0.88571428571428568</v>
      </c>
      <c r="K17" s="84">
        <v>0.91428571428571426</v>
      </c>
      <c r="L17" s="47">
        <v>0.88775510204081631</v>
      </c>
    </row>
    <row r="18" spans="2:12" x14ac:dyDescent="0.2">
      <c r="B18" s="22" t="s">
        <v>20</v>
      </c>
      <c r="C18" s="80" t="s">
        <v>21</v>
      </c>
      <c r="D18" s="72">
        <v>99100</v>
      </c>
      <c r="E18" s="84">
        <v>0.77142857142857146</v>
      </c>
      <c r="F18" s="84">
        <v>0.7142857142857143</v>
      </c>
      <c r="G18" s="84">
        <v>0.65714285714285714</v>
      </c>
      <c r="H18" s="84">
        <v>0.7142857142857143</v>
      </c>
      <c r="I18" s="84">
        <v>0.81428571428571428</v>
      </c>
      <c r="J18" s="84">
        <v>0.7142857142857143</v>
      </c>
      <c r="K18" s="84">
        <v>0.7142857142857143</v>
      </c>
      <c r="L18" s="47">
        <v>0.72857142857142854</v>
      </c>
    </row>
    <row r="19" spans="2:12" ht="25.5" x14ac:dyDescent="0.2">
      <c r="B19" s="22" t="s">
        <v>32</v>
      </c>
      <c r="C19" s="80" t="s">
        <v>33</v>
      </c>
      <c r="D19" s="72">
        <v>204140.29</v>
      </c>
      <c r="E19" s="84">
        <v>0.87142857142857144</v>
      </c>
      <c r="F19" s="84">
        <v>0.82857142857142863</v>
      </c>
      <c r="G19" s="84">
        <v>0.82857142857142863</v>
      </c>
      <c r="H19" s="84">
        <v>0.88571428571428568</v>
      </c>
      <c r="I19" s="84">
        <v>0.9</v>
      </c>
      <c r="J19" s="84">
        <v>0.8571428571428571</v>
      </c>
      <c r="K19" s="84">
        <v>0.87142857142857144</v>
      </c>
      <c r="L19" s="47">
        <v>0.86326530612244901</v>
      </c>
    </row>
    <row r="20" spans="2:12" ht="38.25" x14ac:dyDescent="0.2">
      <c r="B20" s="22" t="s">
        <v>28</v>
      </c>
      <c r="C20" s="80" t="s">
        <v>29</v>
      </c>
      <c r="D20" s="72">
        <v>75000</v>
      </c>
      <c r="E20" s="84">
        <v>0.6428571428571429</v>
      </c>
      <c r="F20" s="84">
        <v>0.58571428571428574</v>
      </c>
      <c r="G20" s="84">
        <v>0.6428571428571429</v>
      </c>
      <c r="H20" s="84">
        <v>0.6428571428571429</v>
      </c>
      <c r="I20" s="84">
        <v>0.67142857142857137</v>
      </c>
      <c r="J20" s="84">
        <v>0.67142857142857137</v>
      </c>
      <c r="K20" s="84">
        <v>0.55714285714285716</v>
      </c>
      <c r="L20" s="47">
        <v>0.6306122448979592</v>
      </c>
    </row>
    <row r="21" spans="2:12" ht="38.25" x14ac:dyDescent="0.2">
      <c r="B21" s="22" t="s">
        <v>26</v>
      </c>
      <c r="C21" s="80" t="s">
        <v>27</v>
      </c>
      <c r="D21" s="72">
        <v>111848.19999999997</v>
      </c>
      <c r="E21" s="84">
        <v>0.77142857142857146</v>
      </c>
      <c r="F21" s="84">
        <v>0.75714285714285712</v>
      </c>
      <c r="G21" s="84">
        <v>0.74285714285714288</v>
      </c>
      <c r="H21" s="84">
        <v>0.8</v>
      </c>
      <c r="I21" s="84">
        <v>0.75714285714285712</v>
      </c>
      <c r="J21" s="84">
        <v>0.7</v>
      </c>
      <c r="K21" s="84">
        <v>0.7142857142857143</v>
      </c>
      <c r="L21" s="47">
        <v>0.74897959183673468</v>
      </c>
    </row>
    <row r="22" spans="2:12" ht="25.5" x14ac:dyDescent="0.2">
      <c r="B22" s="22" t="s">
        <v>36</v>
      </c>
      <c r="C22" s="80" t="s">
        <v>37</v>
      </c>
      <c r="D22" s="72">
        <v>73140</v>
      </c>
      <c r="E22" s="84">
        <v>0.94285714285714284</v>
      </c>
      <c r="F22" s="84">
        <v>0.84285714285714286</v>
      </c>
      <c r="G22" s="84">
        <v>0.75714285714285712</v>
      </c>
      <c r="H22" s="84">
        <v>0.75714285714285712</v>
      </c>
      <c r="I22" s="84">
        <v>0.87142857142857144</v>
      </c>
      <c r="J22" s="84">
        <v>0.81428571428571428</v>
      </c>
      <c r="K22" s="84">
        <v>0.81428571428571428</v>
      </c>
      <c r="L22" s="47">
        <v>0.82857142857142863</v>
      </c>
    </row>
    <row r="23" spans="2:12" x14ac:dyDescent="0.2">
      <c r="B23" s="22" t="s">
        <v>34</v>
      </c>
      <c r="C23" s="80" t="s">
        <v>35</v>
      </c>
      <c r="D23" s="72">
        <v>207508</v>
      </c>
      <c r="E23" s="84">
        <v>0.82857142857142863</v>
      </c>
      <c r="F23" s="84">
        <v>0.72857142857142854</v>
      </c>
      <c r="G23" s="84">
        <v>0.72857142857142854</v>
      </c>
      <c r="H23" s="84">
        <v>0.77142857142857146</v>
      </c>
      <c r="I23" s="84">
        <v>0.68571428571428572</v>
      </c>
      <c r="J23" s="84">
        <v>0.74285714285714288</v>
      </c>
      <c r="K23" s="84">
        <v>0.77142857142857146</v>
      </c>
      <c r="L23" s="47">
        <v>0.75102040816326532</v>
      </c>
    </row>
    <row r="24" spans="2:12" x14ac:dyDescent="0.2">
      <c r="B24" s="22" t="s">
        <v>56</v>
      </c>
      <c r="C24" s="80" t="s">
        <v>31</v>
      </c>
      <c r="D24" s="72">
        <v>173000</v>
      </c>
      <c r="E24" s="84">
        <v>0.9</v>
      </c>
      <c r="F24" s="84">
        <v>0.81428571428571428</v>
      </c>
      <c r="G24" s="84">
        <v>0.8</v>
      </c>
      <c r="H24" s="84">
        <v>0.82857142857142863</v>
      </c>
      <c r="I24" s="84">
        <v>0.74285714285714288</v>
      </c>
      <c r="J24" s="84">
        <v>0.82857142857142863</v>
      </c>
      <c r="K24" s="84">
        <v>0.87142857142857144</v>
      </c>
      <c r="L24" s="47">
        <v>0.82653061224489799</v>
      </c>
    </row>
    <row r="25" spans="2:12" ht="13.5" thickBot="1" x14ac:dyDescent="0.25">
      <c r="B25" s="23" t="s">
        <v>59</v>
      </c>
      <c r="C25" s="81" t="s">
        <v>50</v>
      </c>
      <c r="D25" s="73">
        <v>30000</v>
      </c>
      <c r="E25" s="87">
        <v>0.86153846153846159</v>
      </c>
      <c r="F25" s="87">
        <v>0.8</v>
      </c>
      <c r="G25" s="87">
        <v>0.83076923076923082</v>
      </c>
      <c r="H25" s="87">
        <v>0.84615384615384615</v>
      </c>
      <c r="I25" s="87">
        <v>0.87692307692307692</v>
      </c>
      <c r="J25" s="87">
        <v>0.86153846153846159</v>
      </c>
      <c r="K25" s="87">
        <v>0.84615384615384615</v>
      </c>
      <c r="L25" s="48">
        <v>0.84615384615384615</v>
      </c>
    </row>
    <row r="27" spans="2:12" x14ac:dyDescent="0.2">
      <c r="D27" s="89">
        <f>+SUM(D4:D25)</f>
        <v>4921480.83</v>
      </c>
    </row>
  </sheetData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3"/>
  <sheetViews>
    <sheetView topLeftCell="B1" zoomScaleNormal="100" workbookViewId="0">
      <selection activeCell="P42" sqref="P42"/>
    </sheetView>
  </sheetViews>
  <sheetFormatPr defaultRowHeight="12.75" x14ac:dyDescent="0.2"/>
  <cols>
    <col min="1" max="1" width="66.28515625" customWidth="1"/>
    <col min="2" max="2" width="88.140625" customWidth="1"/>
    <col min="3" max="3" width="7.28515625" customWidth="1"/>
    <col min="4" max="4" width="13" customWidth="1"/>
    <col min="5" max="5" width="17.5703125" customWidth="1"/>
    <col min="6" max="6" width="10.140625" customWidth="1"/>
    <col min="7" max="7" width="8" customWidth="1"/>
    <col min="8" max="9" width="8.85546875" customWidth="1"/>
    <col min="10" max="10" width="13.28515625" customWidth="1"/>
    <col min="11" max="11" width="22.85546875" customWidth="1"/>
    <col min="13" max="13" width="5.5703125" bestFit="1" customWidth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M1" t="s">
        <v>112</v>
      </c>
    </row>
    <row r="2" spans="1:16" x14ac:dyDescent="0.2">
      <c r="A2" s="2" t="s">
        <v>11</v>
      </c>
      <c r="B2" s="2" t="s">
        <v>12</v>
      </c>
      <c r="C2" s="4">
        <v>5</v>
      </c>
      <c r="D2" s="4">
        <v>4</v>
      </c>
      <c r="E2" s="4">
        <v>3</v>
      </c>
      <c r="F2" s="4">
        <v>3</v>
      </c>
      <c r="G2" s="4">
        <v>3</v>
      </c>
      <c r="H2" s="4">
        <v>4</v>
      </c>
      <c r="I2" s="4">
        <v>4</v>
      </c>
      <c r="J2" s="4">
        <v>26</v>
      </c>
      <c r="K2" s="4">
        <v>74.285714285714306</v>
      </c>
      <c r="M2">
        <f>+COUNT(Table1[[#This Row],[Need]:[Overall]])</f>
        <v>7</v>
      </c>
      <c r="N2">
        <f>+M2*5</f>
        <v>35</v>
      </c>
    </row>
    <row r="3" spans="1:16" x14ac:dyDescent="0.2">
      <c r="A3" s="2" t="s">
        <v>11</v>
      </c>
      <c r="B3" s="2" t="s">
        <v>12</v>
      </c>
      <c r="C3" s="4">
        <v>5</v>
      </c>
      <c r="D3" s="4">
        <v>4</v>
      </c>
      <c r="E3" s="4">
        <v>4</v>
      </c>
      <c r="F3" s="4">
        <v>5</v>
      </c>
      <c r="G3" s="4">
        <v>4</v>
      </c>
      <c r="H3" s="4">
        <v>4</v>
      </c>
      <c r="I3" s="4">
        <v>5</v>
      </c>
      <c r="J3" s="4">
        <v>31</v>
      </c>
      <c r="K3" s="4">
        <v>88.571428571428598</v>
      </c>
      <c r="M3">
        <f>+COUNT(Table1[[#This Row],[Need]:[Overall]])</f>
        <v>7</v>
      </c>
      <c r="N3">
        <f t="shared" ref="N3:N16" si="0">+M3*5</f>
        <v>35</v>
      </c>
    </row>
    <row r="4" spans="1:16" x14ac:dyDescent="0.2">
      <c r="A4" s="2" t="s">
        <v>11</v>
      </c>
      <c r="B4" s="2" t="s">
        <v>12</v>
      </c>
      <c r="C4" s="4">
        <v>4</v>
      </c>
      <c r="D4" s="4">
        <v>5</v>
      </c>
      <c r="E4" s="4">
        <v>4</v>
      </c>
      <c r="F4" s="4">
        <v>5</v>
      </c>
      <c r="G4" s="4">
        <v>5</v>
      </c>
      <c r="H4" s="4">
        <v>5</v>
      </c>
      <c r="I4" s="4">
        <v>4</v>
      </c>
      <c r="J4" s="4">
        <v>32</v>
      </c>
      <c r="K4" s="4">
        <v>91.428571428571402</v>
      </c>
      <c r="M4">
        <f>+COUNT(Table1[[#This Row],[Need]:[Overall]])</f>
        <v>7</v>
      </c>
      <c r="N4">
        <f t="shared" si="0"/>
        <v>35</v>
      </c>
    </row>
    <row r="5" spans="1:16" x14ac:dyDescent="0.2">
      <c r="A5" s="2" t="s">
        <v>11</v>
      </c>
      <c r="B5" s="2" t="s">
        <v>12</v>
      </c>
      <c r="C5" s="4">
        <v>3</v>
      </c>
      <c r="D5" s="4">
        <v>3</v>
      </c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21</v>
      </c>
      <c r="K5" s="4">
        <v>60</v>
      </c>
      <c r="M5">
        <f>+COUNT(Table1[[#This Row],[Need]:[Overall]])</f>
        <v>7</v>
      </c>
      <c r="N5">
        <f t="shared" si="0"/>
        <v>35</v>
      </c>
    </row>
    <row r="6" spans="1:16" x14ac:dyDescent="0.2">
      <c r="A6" s="2" t="s">
        <v>11</v>
      </c>
      <c r="B6" s="2" t="s">
        <v>12</v>
      </c>
      <c r="C6" s="4">
        <v>3</v>
      </c>
      <c r="D6" s="4">
        <v>4</v>
      </c>
      <c r="E6" s="4">
        <v>4</v>
      </c>
      <c r="F6" s="4">
        <v>4</v>
      </c>
      <c r="G6" s="4">
        <v>4</v>
      </c>
      <c r="H6" s="4">
        <v>4</v>
      </c>
      <c r="I6" s="4">
        <v>4</v>
      </c>
      <c r="J6" s="4">
        <v>27</v>
      </c>
      <c r="K6" s="4">
        <v>77.142857142857196</v>
      </c>
      <c r="M6">
        <f>+COUNT(Table1[[#This Row],[Need]:[Overall]])</f>
        <v>7</v>
      </c>
      <c r="N6">
        <f t="shared" si="0"/>
        <v>35</v>
      </c>
    </row>
    <row r="7" spans="1:16" x14ac:dyDescent="0.2">
      <c r="A7" s="2" t="s">
        <v>11</v>
      </c>
      <c r="B7" s="2" t="s">
        <v>12</v>
      </c>
      <c r="C7" s="4" t="s">
        <v>13</v>
      </c>
      <c r="D7" s="4" t="s">
        <v>13</v>
      </c>
      <c r="E7" s="4" t="s">
        <v>13</v>
      </c>
      <c r="F7" s="4" t="s">
        <v>13</v>
      </c>
      <c r="G7" s="4" t="s">
        <v>13</v>
      </c>
      <c r="H7" s="4" t="s">
        <v>13</v>
      </c>
      <c r="I7" s="4" t="s">
        <v>13</v>
      </c>
      <c r="J7" s="3"/>
      <c r="K7" s="3" t="s">
        <v>121</v>
      </c>
      <c r="M7">
        <f>+COUNT(Table1[[#This Row],[Need]:[Overall]])</f>
        <v>0</v>
      </c>
      <c r="N7">
        <f t="shared" si="0"/>
        <v>0</v>
      </c>
    </row>
    <row r="8" spans="1:16" x14ac:dyDescent="0.2">
      <c r="A8" s="2" t="s">
        <v>11</v>
      </c>
      <c r="B8" s="2" t="s">
        <v>12</v>
      </c>
      <c r="C8" s="4">
        <v>5</v>
      </c>
      <c r="D8" s="4">
        <v>4</v>
      </c>
      <c r="E8" s="4">
        <v>4</v>
      </c>
      <c r="F8" s="4">
        <v>5</v>
      </c>
      <c r="G8" s="4">
        <v>5</v>
      </c>
      <c r="H8" s="4">
        <v>4</v>
      </c>
      <c r="I8" s="4">
        <v>5</v>
      </c>
      <c r="J8" s="4">
        <v>32</v>
      </c>
      <c r="K8" s="4">
        <v>91.428571428571402</v>
      </c>
      <c r="M8">
        <f>+COUNT(Table1[[#This Row],[Need]:[Overall]])</f>
        <v>7</v>
      </c>
      <c r="N8">
        <f t="shared" si="0"/>
        <v>35</v>
      </c>
    </row>
    <row r="9" spans="1:16" x14ac:dyDescent="0.2">
      <c r="A9" s="2" t="s">
        <v>11</v>
      </c>
      <c r="B9" s="2" t="s">
        <v>12</v>
      </c>
      <c r="C9" s="4">
        <v>4</v>
      </c>
      <c r="D9" s="4">
        <v>3</v>
      </c>
      <c r="E9" s="4">
        <v>3</v>
      </c>
      <c r="F9" s="4">
        <v>3</v>
      </c>
      <c r="G9" s="4">
        <v>3</v>
      </c>
      <c r="H9" s="4">
        <v>3</v>
      </c>
      <c r="I9" s="4">
        <v>3</v>
      </c>
      <c r="J9" s="4">
        <v>22</v>
      </c>
      <c r="K9" s="4">
        <v>62.857142857142897</v>
      </c>
      <c r="M9">
        <f>+COUNT(Table1[[#This Row],[Need]:[Overall]])</f>
        <v>7</v>
      </c>
      <c r="N9">
        <f t="shared" si="0"/>
        <v>35</v>
      </c>
    </row>
    <row r="10" spans="1:16" x14ac:dyDescent="0.2">
      <c r="A10" s="2" t="s">
        <v>11</v>
      </c>
      <c r="B10" s="2" t="s">
        <v>12</v>
      </c>
      <c r="C10" s="4">
        <v>5</v>
      </c>
      <c r="D10" s="4">
        <v>5</v>
      </c>
      <c r="E10" s="4">
        <v>5</v>
      </c>
      <c r="F10" s="4">
        <v>5</v>
      </c>
      <c r="G10" s="4">
        <v>5</v>
      </c>
      <c r="H10" s="4">
        <v>5</v>
      </c>
      <c r="I10" s="4">
        <v>5</v>
      </c>
      <c r="J10" s="4">
        <v>35</v>
      </c>
      <c r="K10" s="4">
        <v>100</v>
      </c>
      <c r="M10">
        <f>+COUNT(Table1[[#This Row],[Need]:[Overall]])</f>
        <v>7</v>
      </c>
      <c r="N10">
        <f t="shared" si="0"/>
        <v>35</v>
      </c>
    </row>
    <row r="11" spans="1:16" x14ac:dyDescent="0.2">
      <c r="A11" s="2" t="s">
        <v>11</v>
      </c>
      <c r="B11" s="2" t="s">
        <v>12</v>
      </c>
      <c r="C11" s="4">
        <v>5</v>
      </c>
      <c r="D11" s="4">
        <v>5</v>
      </c>
      <c r="E11" s="4">
        <v>5</v>
      </c>
      <c r="F11" s="4">
        <v>5</v>
      </c>
      <c r="G11" s="4">
        <v>5</v>
      </c>
      <c r="H11" s="4">
        <v>5</v>
      </c>
      <c r="I11" s="4">
        <v>5</v>
      </c>
      <c r="J11" s="4">
        <v>35</v>
      </c>
      <c r="K11" s="4">
        <v>100</v>
      </c>
      <c r="M11">
        <f>+COUNT(Table1[[#This Row],[Need]:[Overall]])</f>
        <v>7</v>
      </c>
      <c r="N11">
        <f t="shared" si="0"/>
        <v>35</v>
      </c>
    </row>
    <row r="12" spans="1:16" x14ac:dyDescent="0.2">
      <c r="A12" s="2" t="s">
        <v>11</v>
      </c>
      <c r="B12" s="2" t="s">
        <v>12</v>
      </c>
      <c r="C12" s="4">
        <v>3</v>
      </c>
      <c r="D12" s="4">
        <v>3</v>
      </c>
      <c r="E12" s="4">
        <v>3</v>
      </c>
      <c r="F12" s="4">
        <v>4</v>
      </c>
      <c r="G12" s="4">
        <v>4</v>
      </c>
      <c r="H12" s="4">
        <v>4</v>
      </c>
      <c r="I12" s="4">
        <v>4</v>
      </c>
      <c r="J12" s="4">
        <v>25</v>
      </c>
      <c r="K12" s="4">
        <v>71.428571428571402</v>
      </c>
      <c r="M12">
        <f>+COUNT(Table1[[#This Row],[Need]:[Overall]])</f>
        <v>7</v>
      </c>
      <c r="N12">
        <f t="shared" si="0"/>
        <v>35</v>
      </c>
    </row>
    <row r="13" spans="1:16" x14ac:dyDescent="0.2">
      <c r="A13" s="2" t="s">
        <v>11</v>
      </c>
      <c r="B13" s="2" t="s">
        <v>12</v>
      </c>
      <c r="C13" s="4">
        <v>4</v>
      </c>
      <c r="D13" s="4">
        <v>2</v>
      </c>
      <c r="E13" s="4">
        <v>3</v>
      </c>
      <c r="F13" s="4">
        <v>3</v>
      </c>
      <c r="G13" s="4">
        <v>5</v>
      </c>
      <c r="H13" s="4">
        <v>3</v>
      </c>
      <c r="I13" s="4">
        <v>3</v>
      </c>
      <c r="J13" s="4">
        <v>23</v>
      </c>
      <c r="K13" s="4">
        <v>65.714285714285694</v>
      </c>
      <c r="M13">
        <f>+COUNT(Table1[[#This Row],[Need]:[Overall]])</f>
        <v>7</v>
      </c>
      <c r="N13">
        <f t="shared" si="0"/>
        <v>35</v>
      </c>
    </row>
    <row r="14" spans="1:16" x14ac:dyDescent="0.2">
      <c r="A14" s="2" t="s">
        <v>11</v>
      </c>
      <c r="B14" s="2" t="s">
        <v>12</v>
      </c>
      <c r="C14" s="4" t="s">
        <v>13</v>
      </c>
      <c r="D14" s="4" t="s">
        <v>13</v>
      </c>
      <c r="E14" s="4" t="s">
        <v>13</v>
      </c>
      <c r="F14" s="4" t="s">
        <v>13</v>
      </c>
      <c r="G14" s="4" t="s">
        <v>13</v>
      </c>
      <c r="H14" s="4" t="s">
        <v>13</v>
      </c>
      <c r="I14" s="4" t="s">
        <v>13</v>
      </c>
      <c r="J14" s="3"/>
      <c r="K14" s="3" t="s">
        <v>121</v>
      </c>
      <c r="M14">
        <f>+COUNT(Table1[[#This Row],[Need]:[Overall]])</f>
        <v>0</v>
      </c>
      <c r="N14">
        <f t="shared" si="0"/>
        <v>0</v>
      </c>
    </row>
    <row r="15" spans="1:16" x14ac:dyDescent="0.2">
      <c r="A15" s="2" t="s">
        <v>11</v>
      </c>
      <c r="B15" s="2" t="s">
        <v>12</v>
      </c>
      <c r="C15" s="4">
        <v>5</v>
      </c>
      <c r="D15" s="4">
        <v>4</v>
      </c>
      <c r="E15" s="4">
        <v>5</v>
      </c>
      <c r="F15" s="4">
        <v>5</v>
      </c>
      <c r="G15" s="4">
        <v>5</v>
      </c>
      <c r="H15" s="4">
        <v>4</v>
      </c>
      <c r="I15" s="4">
        <v>5</v>
      </c>
      <c r="J15" s="4">
        <v>33</v>
      </c>
      <c r="K15" s="4">
        <v>94.285714285714306</v>
      </c>
      <c r="M15">
        <f>+COUNT(Table1[[#This Row],[Need]:[Overall]])</f>
        <v>7</v>
      </c>
      <c r="N15">
        <f t="shared" si="0"/>
        <v>35</v>
      </c>
    </row>
    <row r="16" spans="1:16" x14ac:dyDescent="0.2">
      <c r="A16" s="2" t="s">
        <v>11</v>
      </c>
      <c r="B16" s="2" t="s">
        <v>12</v>
      </c>
      <c r="C16" s="4">
        <v>5</v>
      </c>
      <c r="D16" s="4">
        <v>3</v>
      </c>
      <c r="E16" s="4">
        <v>4</v>
      </c>
      <c r="F16" s="4">
        <v>4</v>
      </c>
      <c r="G16" s="4">
        <v>4</v>
      </c>
      <c r="H16" s="4" t="s">
        <v>13</v>
      </c>
      <c r="I16" s="4">
        <v>4</v>
      </c>
      <c r="J16" s="3">
        <v>24</v>
      </c>
      <c r="K16" s="3" t="s">
        <v>121</v>
      </c>
      <c r="M16">
        <f>+COUNT(Table1[[#This Row],[Need]:[Overall]])</f>
        <v>6</v>
      </c>
      <c r="N16">
        <f t="shared" si="0"/>
        <v>30</v>
      </c>
      <c r="O16">
        <f>+SUM(N2:N16)</f>
        <v>450</v>
      </c>
      <c r="P16" s="184">
        <f>+SUM(C2:I16)/O16</f>
        <v>0.81333333333333335</v>
      </c>
    </row>
    <row r="17" spans="1:13" hidden="1" x14ac:dyDescent="0.2">
      <c r="A17" s="2" t="s">
        <v>14</v>
      </c>
      <c r="B17" s="2" t="s">
        <v>15</v>
      </c>
      <c r="C17" s="4">
        <v>4</v>
      </c>
      <c r="D17" s="4">
        <v>3</v>
      </c>
      <c r="E17" s="4">
        <v>4</v>
      </c>
      <c r="F17" s="4">
        <v>3</v>
      </c>
      <c r="G17" s="4">
        <v>5</v>
      </c>
      <c r="H17" s="4">
        <v>3</v>
      </c>
      <c r="I17" s="4">
        <v>3</v>
      </c>
      <c r="J17" s="4">
        <v>25</v>
      </c>
      <c r="K17" s="4">
        <v>71.428571428571402</v>
      </c>
      <c r="M17">
        <f>+COUNT(Table1[[#This Row],[Need]:[Overall]])</f>
        <v>7</v>
      </c>
    </row>
    <row r="18" spans="1:13" hidden="1" x14ac:dyDescent="0.2">
      <c r="A18" s="2" t="s">
        <v>14</v>
      </c>
      <c r="B18" s="2" t="s">
        <v>15</v>
      </c>
      <c r="C18" s="4">
        <v>3</v>
      </c>
      <c r="D18" s="4">
        <v>3</v>
      </c>
      <c r="E18" s="4">
        <v>3</v>
      </c>
      <c r="F18" s="4">
        <v>3</v>
      </c>
      <c r="G18" s="4">
        <v>3</v>
      </c>
      <c r="H18" s="4">
        <v>4</v>
      </c>
      <c r="I18" s="4">
        <v>3</v>
      </c>
      <c r="J18" s="4">
        <v>22</v>
      </c>
      <c r="K18" s="4">
        <v>62.857142857142897</v>
      </c>
      <c r="M18">
        <f>+COUNT(Table1[[#This Row],[Need]:[Overall]])</f>
        <v>7</v>
      </c>
    </row>
    <row r="19" spans="1:13" hidden="1" x14ac:dyDescent="0.2">
      <c r="A19" s="2" t="s">
        <v>14</v>
      </c>
      <c r="B19" s="2" t="s">
        <v>15</v>
      </c>
      <c r="C19" s="4">
        <v>4</v>
      </c>
      <c r="D19" s="4">
        <v>4</v>
      </c>
      <c r="E19" s="4">
        <v>4</v>
      </c>
      <c r="F19" s="4">
        <v>3</v>
      </c>
      <c r="G19" s="4">
        <v>3</v>
      </c>
      <c r="H19" s="4">
        <v>4</v>
      </c>
      <c r="I19" s="4">
        <v>4</v>
      </c>
      <c r="J19" s="4">
        <v>26</v>
      </c>
      <c r="K19" s="4">
        <v>74.285714285714306</v>
      </c>
      <c r="M19">
        <f>+COUNT(Table1[[#This Row],[Need]:[Overall]])</f>
        <v>7</v>
      </c>
    </row>
    <row r="20" spans="1:13" hidden="1" x14ac:dyDescent="0.2">
      <c r="A20" s="2" t="s">
        <v>14</v>
      </c>
      <c r="B20" s="2" t="s">
        <v>15</v>
      </c>
      <c r="C20" s="4">
        <v>3</v>
      </c>
      <c r="D20" s="4">
        <v>2</v>
      </c>
      <c r="E20" s="4">
        <v>2</v>
      </c>
      <c r="F20" s="4">
        <v>2</v>
      </c>
      <c r="G20" s="4">
        <v>3</v>
      </c>
      <c r="H20" s="4">
        <v>2</v>
      </c>
      <c r="I20" s="4">
        <v>2</v>
      </c>
      <c r="J20" s="4">
        <v>16</v>
      </c>
      <c r="K20" s="4">
        <v>45.714285714285701</v>
      </c>
      <c r="M20">
        <f>+COUNT(Table1[[#This Row],[Need]:[Overall]])</f>
        <v>7</v>
      </c>
    </row>
    <row r="21" spans="1:13" hidden="1" x14ac:dyDescent="0.2">
      <c r="A21" s="2" t="s">
        <v>14</v>
      </c>
      <c r="B21" s="2" t="s">
        <v>15</v>
      </c>
      <c r="C21" s="4">
        <v>5</v>
      </c>
      <c r="D21" s="4">
        <v>3</v>
      </c>
      <c r="E21" s="4">
        <v>4</v>
      </c>
      <c r="F21" s="4">
        <v>4</v>
      </c>
      <c r="G21" s="4">
        <v>5</v>
      </c>
      <c r="H21" s="4">
        <v>5</v>
      </c>
      <c r="I21" s="4">
        <v>5</v>
      </c>
      <c r="J21" s="4">
        <v>31</v>
      </c>
      <c r="K21" s="4">
        <v>88.571428571428598</v>
      </c>
      <c r="M21">
        <f>+COUNT(Table1[[#This Row],[Need]:[Overall]])</f>
        <v>7</v>
      </c>
    </row>
    <row r="22" spans="1:13" hidden="1" x14ac:dyDescent="0.2">
      <c r="A22" s="2" t="s">
        <v>14</v>
      </c>
      <c r="B22" s="2" t="s">
        <v>15</v>
      </c>
      <c r="C22" s="4">
        <v>3</v>
      </c>
      <c r="D22" s="4">
        <v>3</v>
      </c>
      <c r="E22" s="4">
        <v>3</v>
      </c>
      <c r="F22" s="4">
        <v>3</v>
      </c>
      <c r="G22" s="4">
        <v>3</v>
      </c>
      <c r="H22" s="4">
        <v>3</v>
      </c>
      <c r="I22" s="4">
        <v>3</v>
      </c>
      <c r="J22" s="4">
        <v>21</v>
      </c>
      <c r="K22" s="4">
        <v>60</v>
      </c>
      <c r="M22">
        <f>+COUNT(Table1[[#This Row],[Need]:[Overall]])</f>
        <v>7</v>
      </c>
    </row>
    <row r="23" spans="1:13" hidden="1" x14ac:dyDescent="0.2">
      <c r="A23" s="2" t="s">
        <v>14</v>
      </c>
      <c r="B23" s="2" t="s">
        <v>15</v>
      </c>
      <c r="C23" s="4">
        <v>3</v>
      </c>
      <c r="D23" s="4">
        <v>3</v>
      </c>
      <c r="E23" s="4">
        <v>3</v>
      </c>
      <c r="F23" s="4">
        <v>3</v>
      </c>
      <c r="G23" s="4">
        <v>4</v>
      </c>
      <c r="H23" s="4">
        <v>3</v>
      </c>
      <c r="I23" s="4">
        <v>3</v>
      </c>
      <c r="J23" s="4">
        <v>22</v>
      </c>
      <c r="K23" s="4">
        <v>62.857142857142897</v>
      </c>
      <c r="M23">
        <f>+COUNT(Table1[[#This Row],[Need]:[Overall]])</f>
        <v>7</v>
      </c>
    </row>
    <row r="24" spans="1:13" hidden="1" x14ac:dyDescent="0.2">
      <c r="A24" s="2" t="s">
        <v>14</v>
      </c>
      <c r="B24" s="2" t="s">
        <v>15</v>
      </c>
      <c r="C24" s="4">
        <v>5</v>
      </c>
      <c r="D24" s="4">
        <v>4</v>
      </c>
      <c r="E24" s="4">
        <v>5</v>
      </c>
      <c r="F24" s="4">
        <v>4</v>
      </c>
      <c r="G24" s="4">
        <v>5</v>
      </c>
      <c r="H24" s="4">
        <v>3</v>
      </c>
      <c r="I24" s="4">
        <v>4</v>
      </c>
      <c r="J24" s="4">
        <v>30</v>
      </c>
      <c r="K24" s="4">
        <v>85.714285714285694</v>
      </c>
      <c r="M24">
        <f>+COUNT(Table1[[#This Row],[Need]:[Overall]])</f>
        <v>7</v>
      </c>
    </row>
    <row r="25" spans="1:13" hidden="1" x14ac:dyDescent="0.2">
      <c r="A25" s="2" t="s">
        <v>14</v>
      </c>
      <c r="B25" s="2" t="s">
        <v>15</v>
      </c>
      <c r="C25" s="4">
        <v>5</v>
      </c>
      <c r="D25" s="4">
        <v>5</v>
      </c>
      <c r="E25" s="4">
        <v>5</v>
      </c>
      <c r="F25" s="4">
        <v>5</v>
      </c>
      <c r="G25" s="4">
        <v>5</v>
      </c>
      <c r="H25" s="4">
        <v>5</v>
      </c>
      <c r="I25" s="4">
        <v>5</v>
      </c>
      <c r="J25" s="4">
        <v>35</v>
      </c>
      <c r="K25" s="4">
        <v>100</v>
      </c>
      <c r="M25">
        <f>+COUNT(Table1[[#This Row],[Need]:[Overall]])</f>
        <v>7</v>
      </c>
    </row>
    <row r="26" spans="1:13" hidden="1" x14ac:dyDescent="0.2">
      <c r="A26" s="2" t="s">
        <v>14</v>
      </c>
      <c r="B26" s="2" t="s">
        <v>15</v>
      </c>
      <c r="C26" s="4">
        <v>5</v>
      </c>
      <c r="D26" s="4">
        <v>4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28</v>
      </c>
      <c r="K26" s="4">
        <v>80</v>
      </c>
      <c r="M26">
        <f>+COUNT(Table1[[#This Row],[Need]:[Overall]])</f>
        <v>7</v>
      </c>
    </row>
    <row r="27" spans="1:13" hidden="1" x14ac:dyDescent="0.2">
      <c r="A27" s="2" t="s">
        <v>14</v>
      </c>
      <c r="B27" s="2" t="s">
        <v>15</v>
      </c>
      <c r="C27" s="4">
        <v>5</v>
      </c>
      <c r="D27" s="4">
        <v>3</v>
      </c>
      <c r="E27" s="4">
        <v>4</v>
      </c>
      <c r="F27" s="4">
        <v>3</v>
      </c>
      <c r="G27" s="4">
        <v>4</v>
      </c>
      <c r="H27" s="4">
        <v>3</v>
      </c>
      <c r="I27" s="4">
        <v>4</v>
      </c>
      <c r="J27" s="4">
        <v>26</v>
      </c>
      <c r="K27" s="4">
        <v>74.285714285714306</v>
      </c>
      <c r="M27">
        <f>+COUNT(Table1[[#This Row],[Need]:[Overall]])</f>
        <v>7</v>
      </c>
    </row>
    <row r="28" spans="1:13" hidden="1" x14ac:dyDescent="0.2">
      <c r="A28" s="2" t="s">
        <v>14</v>
      </c>
      <c r="B28" s="2" t="s">
        <v>15</v>
      </c>
      <c r="C28" s="4">
        <v>5</v>
      </c>
      <c r="D28" s="4">
        <v>4</v>
      </c>
      <c r="E28" s="4">
        <v>4</v>
      </c>
      <c r="F28" s="4">
        <v>5</v>
      </c>
      <c r="G28" s="4">
        <v>4</v>
      </c>
      <c r="H28" s="4">
        <v>5</v>
      </c>
      <c r="I28" s="4">
        <v>5</v>
      </c>
      <c r="J28" s="4">
        <v>32</v>
      </c>
      <c r="K28" s="4">
        <v>91.428571428571402</v>
      </c>
      <c r="M28">
        <f>+COUNT(Table1[[#This Row],[Need]:[Overall]])</f>
        <v>7</v>
      </c>
    </row>
    <row r="29" spans="1:13" hidden="1" x14ac:dyDescent="0.2">
      <c r="A29" s="2" t="s">
        <v>14</v>
      </c>
      <c r="B29" s="2" t="s">
        <v>15</v>
      </c>
      <c r="C29" s="4" t="s">
        <v>13</v>
      </c>
      <c r="D29" s="4" t="s">
        <v>13</v>
      </c>
      <c r="E29" s="4" t="s">
        <v>13</v>
      </c>
      <c r="F29" s="4" t="s">
        <v>13</v>
      </c>
      <c r="G29" s="4" t="s">
        <v>13</v>
      </c>
      <c r="H29" s="4" t="s">
        <v>13</v>
      </c>
      <c r="I29" s="4" t="s">
        <v>13</v>
      </c>
      <c r="J29" s="3"/>
      <c r="K29" s="3" t="s">
        <v>121</v>
      </c>
      <c r="M29">
        <f>+COUNT(Table1[[#This Row],[Need]:[Overall]])</f>
        <v>0</v>
      </c>
    </row>
    <row r="30" spans="1:13" hidden="1" x14ac:dyDescent="0.2">
      <c r="A30" s="2" t="s">
        <v>14</v>
      </c>
      <c r="B30" s="2" t="s">
        <v>15</v>
      </c>
      <c r="C30" s="4">
        <v>4</v>
      </c>
      <c r="D30" s="4">
        <v>4</v>
      </c>
      <c r="E30" s="4">
        <v>4</v>
      </c>
      <c r="F30" s="4">
        <v>4</v>
      </c>
      <c r="G30" s="4">
        <v>4</v>
      </c>
      <c r="H30" s="4">
        <v>4</v>
      </c>
      <c r="I30" s="4">
        <v>5</v>
      </c>
      <c r="J30" s="4">
        <v>29</v>
      </c>
      <c r="K30" s="4">
        <v>82.857142857142904</v>
      </c>
      <c r="M30">
        <f>+COUNT(Table1[[#This Row],[Need]:[Overall]])</f>
        <v>7</v>
      </c>
    </row>
    <row r="31" spans="1:13" hidden="1" x14ac:dyDescent="0.2">
      <c r="A31" s="2" t="s">
        <v>14</v>
      </c>
      <c r="B31" s="2" t="s">
        <v>15</v>
      </c>
      <c r="C31" s="4">
        <v>5</v>
      </c>
      <c r="D31" s="4">
        <v>4</v>
      </c>
      <c r="E31" s="4">
        <v>5</v>
      </c>
      <c r="F31" s="4">
        <v>4</v>
      </c>
      <c r="G31" s="4">
        <v>5</v>
      </c>
      <c r="H31" s="4">
        <v>4</v>
      </c>
      <c r="I31" s="4">
        <v>5</v>
      </c>
      <c r="J31" s="4">
        <v>32</v>
      </c>
      <c r="K31" s="4">
        <v>91.428571428571402</v>
      </c>
      <c r="M31">
        <f>+COUNT(Table1[[#This Row],[Need]:[Overall]])</f>
        <v>7</v>
      </c>
    </row>
    <row r="32" spans="1:13" hidden="1" x14ac:dyDescent="0.2">
      <c r="A32" s="2" t="s">
        <v>16</v>
      </c>
      <c r="B32" s="2" t="s">
        <v>17</v>
      </c>
      <c r="C32" s="4">
        <v>4</v>
      </c>
      <c r="D32" s="4">
        <v>5</v>
      </c>
      <c r="E32" s="4">
        <v>5</v>
      </c>
      <c r="F32" s="4">
        <v>4</v>
      </c>
      <c r="G32" s="4">
        <v>4</v>
      </c>
      <c r="H32" s="4">
        <v>4</v>
      </c>
      <c r="I32" s="4">
        <v>4</v>
      </c>
      <c r="J32" s="4">
        <v>30</v>
      </c>
      <c r="K32" s="4">
        <v>85.714285714285694</v>
      </c>
      <c r="M32">
        <f>+COUNT(Table1[[#This Row],[Need]:[Overall]])</f>
        <v>7</v>
      </c>
    </row>
    <row r="33" spans="1:13" hidden="1" x14ac:dyDescent="0.2">
      <c r="A33" s="2" t="s">
        <v>16</v>
      </c>
      <c r="B33" s="2" t="s">
        <v>17</v>
      </c>
      <c r="C33" s="4">
        <v>4</v>
      </c>
      <c r="D33" s="4">
        <v>3</v>
      </c>
      <c r="E33" s="4">
        <v>3</v>
      </c>
      <c r="F33" s="4">
        <v>4</v>
      </c>
      <c r="G33" s="4">
        <v>4</v>
      </c>
      <c r="H33" s="4">
        <v>4</v>
      </c>
      <c r="I33" s="4">
        <v>4</v>
      </c>
      <c r="J33" s="4">
        <v>26</v>
      </c>
      <c r="K33" s="4">
        <v>74.285714285714306</v>
      </c>
      <c r="M33">
        <f>+COUNT(Table1[[#This Row],[Need]:[Overall]])</f>
        <v>7</v>
      </c>
    </row>
    <row r="34" spans="1:13" hidden="1" x14ac:dyDescent="0.2">
      <c r="A34" s="2" t="s">
        <v>16</v>
      </c>
      <c r="B34" s="2" t="s">
        <v>17</v>
      </c>
      <c r="C34" s="4">
        <v>5</v>
      </c>
      <c r="D34" s="4">
        <v>5</v>
      </c>
      <c r="E34" s="4">
        <v>5</v>
      </c>
      <c r="F34" s="4">
        <v>5</v>
      </c>
      <c r="G34" s="4">
        <v>5</v>
      </c>
      <c r="H34" s="4">
        <v>5</v>
      </c>
      <c r="I34" s="4">
        <v>5</v>
      </c>
      <c r="J34" s="4">
        <v>35</v>
      </c>
      <c r="K34" s="4">
        <v>100</v>
      </c>
      <c r="M34">
        <f>+COUNT(Table1[[#This Row],[Need]:[Overall]])</f>
        <v>7</v>
      </c>
    </row>
    <row r="35" spans="1:13" hidden="1" x14ac:dyDescent="0.2">
      <c r="A35" s="2" t="s">
        <v>16</v>
      </c>
      <c r="B35" s="2" t="s">
        <v>17</v>
      </c>
      <c r="C35" s="4">
        <v>2</v>
      </c>
      <c r="D35" s="4">
        <v>2</v>
      </c>
      <c r="E35" s="4">
        <v>2</v>
      </c>
      <c r="F35" s="4">
        <v>2</v>
      </c>
      <c r="G35" s="4">
        <v>3</v>
      </c>
      <c r="H35" s="4">
        <v>2</v>
      </c>
      <c r="I35" s="4">
        <v>2</v>
      </c>
      <c r="J35" s="4">
        <v>15</v>
      </c>
      <c r="K35" s="4">
        <v>42.857142857142897</v>
      </c>
      <c r="M35">
        <f>+COUNT(Table1[[#This Row],[Need]:[Overall]])</f>
        <v>7</v>
      </c>
    </row>
    <row r="36" spans="1:13" hidden="1" x14ac:dyDescent="0.2">
      <c r="A36" s="2" t="s">
        <v>16</v>
      </c>
      <c r="B36" s="2" t="s">
        <v>17</v>
      </c>
      <c r="C36" s="4">
        <v>5</v>
      </c>
      <c r="D36" s="4">
        <v>5</v>
      </c>
      <c r="E36" s="4">
        <v>5</v>
      </c>
      <c r="F36" s="4">
        <v>5</v>
      </c>
      <c r="G36" s="4">
        <v>5</v>
      </c>
      <c r="H36" s="4">
        <v>5</v>
      </c>
      <c r="I36" s="4">
        <v>5</v>
      </c>
      <c r="J36" s="4">
        <v>35</v>
      </c>
      <c r="K36" s="4">
        <v>100</v>
      </c>
      <c r="M36">
        <f>+COUNT(Table1[[#This Row],[Need]:[Overall]])</f>
        <v>7</v>
      </c>
    </row>
    <row r="37" spans="1:13" hidden="1" x14ac:dyDescent="0.2">
      <c r="A37" s="2" t="s">
        <v>16</v>
      </c>
      <c r="B37" s="2" t="s">
        <v>17</v>
      </c>
      <c r="C37" s="4">
        <v>3</v>
      </c>
      <c r="D37" s="4">
        <v>3</v>
      </c>
      <c r="E37" s="4">
        <v>3</v>
      </c>
      <c r="F37" s="4">
        <v>4</v>
      </c>
      <c r="G37" s="4">
        <v>3</v>
      </c>
      <c r="H37" s="4">
        <v>3</v>
      </c>
      <c r="I37" s="4">
        <v>4</v>
      </c>
      <c r="J37" s="4">
        <v>23</v>
      </c>
      <c r="K37" s="4">
        <v>65.714285714285694</v>
      </c>
      <c r="M37">
        <f>+COUNT(Table1[[#This Row],[Need]:[Overall]])</f>
        <v>7</v>
      </c>
    </row>
    <row r="38" spans="1:13" hidden="1" x14ac:dyDescent="0.2">
      <c r="A38" s="2" t="s">
        <v>16</v>
      </c>
      <c r="B38" s="2" t="s">
        <v>17</v>
      </c>
      <c r="C38" s="4">
        <v>5</v>
      </c>
      <c r="D38" s="4">
        <v>5</v>
      </c>
      <c r="E38" s="4">
        <v>5</v>
      </c>
      <c r="F38" s="4">
        <v>5</v>
      </c>
      <c r="G38" s="4">
        <v>5</v>
      </c>
      <c r="H38" s="4">
        <v>5</v>
      </c>
      <c r="I38" s="4">
        <v>5</v>
      </c>
      <c r="J38" s="4">
        <v>35</v>
      </c>
      <c r="K38" s="4">
        <v>100</v>
      </c>
      <c r="M38">
        <f>+COUNT(Table1[[#This Row],[Need]:[Overall]])</f>
        <v>7</v>
      </c>
    </row>
    <row r="39" spans="1:13" hidden="1" x14ac:dyDescent="0.2">
      <c r="A39" s="2" t="s">
        <v>16</v>
      </c>
      <c r="B39" s="2" t="s">
        <v>17</v>
      </c>
      <c r="C39" s="4">
        <v>4</v>
      </c>
      <c r="D39" s="4">
        <v>5</v>
      </c>
      <c r="E39" s="4">
        <v>5</v>
      </c>
      <c r="F39" s="4">
        <v>5</v>
      </c>
      <c r="G39" s="4">
        <v>4</v>
      </c>
      <c r="H39" s="4">
        <v>4</v>
      </c>
      <c r="I39" s="4">
        <v>4</v>
      </c>
      <c r="J39" s="4">
        <v>31</v>
      </c>
      <c r="K39" s="4">
        <v>88.571428571428598</v>
      </c>
      <c r="M39">
        <f>+COUNT(Table1[[#This Row],[Need]:[Overall]])</f>
        <v>7</v>
      </c>
    </row>
    <row r="40" spans="1:13" hidden="1" x14ac:dyDescent="0.2">
      <c r="A40" s="2" t="s">
        <v>16</v>
      </c>
      <c r="B40" s="2" t="s">
        <v>17</v>
      </c>
      <c r="C40" s="4">
        <v>5</v>
      </c>
      <c r="D40" s="4">
        <v>5</v>
      </c>
      <c r="E40" s="4">
        <v>5</v>
      </c>
      <c r="F40" s="4">
        <v>5</v>
      </c>
      <c r="G40" s="4">
        <v>5</v>
      </c>
      <c r="H40" s="4">
        <v>5</v>
      </c>
      <c r="I40" s="4">
        <v>5</v>
      </c>
      <c r="J40" s="4">
        <v>35</v>
      </c>
      <c r="K40" s="4">
        <v>100</v>
      </c>
      <c r="M40">
        <f>+COUNT(Table1[[#This Row],[Need]:[Overall]])</f>
        <v>7</v>
      </c>
    </row>
    <row r="41" spans="1:13" hidden="1" x14ac:dyDescent="0.2">
      <c r="A41" s="2" t="s">
        <v>16</v>
      </c>
      <c r="B41" s="2" t="s">
        <v>17</v>
      </c>
      <c r="C41" s="4">
        <v>5</v>
      </c>
      <c r="D41" s="4">
        <v>4</v>
      </c>
      <c r="E41" s="4">
        <v>4</v>
      </c>
      <c r="F41" s="4">
        <v>5</v>
      </c>
      <c r="G41" s="4">
        <v>5</v>
      </c>
      <c r="H41" s="4">
        <v>5</v>
      </c>
      <c r="I41" s="4">
        <v>5</v>
      </c>
      <c r="J41" s="4">
        <v>33</v>
      </c>
      <c r="K41" s="4">
        <v>94.285714285714306</v>
      </c>
      <c r="M41">
        <f>+COUNT(Table1[[#This Row],[Need]:[Overall]])</f>
        <v>7</v>
      </c>
    </row>
    <row r="42" spans="1:13" hidden="1" x14ac:dyDescent="0.2">
      <c r="A42" s="2" t="s">
        <v>16</v>
      </c>
      <c r="B42" s="2" t="s">
        <v>17</v>
      </c>
      <c r="C42" s="4">
        <v>5</v>
      </c>
      <c r="D42" s="4">
        <v>4</v>
      </c>
      <c r="E42" s="4">
        <v>5</v>
      </c>
      <c r="F42" s="4">
        <v>5</v>
      </c>
      <c r="G42" s="4">
        <v>5</v>
      </c>
      <c r="H42" s="4">
        <v>4</v>
      </c>
      <c r="I42" s="4">
        <v>5</v>
      </c>
      <c r="J42" s="4">
        <v>33</v>
      </c>
      <c r="K42" s="4">
        <v>94.285714285714306</v>
      </c>
      <c r="M42">
        <f>+COUNT(Table1[[#This Row],[Need]:[Overall]])</f>
        <v>7</v>
      </c>
    </row>
    <row r="43" spans="1:13" hidden="1" x14ac:dyDescent="0.2">
      <c r="A43" s="2" t="s">
        <v>16</v>
      </c>
      <c r="B43" s="2" t="s">
        <v>17</v>
      </c>
      <c r="C43" s="4">
        <v>5</v>
      </c>
      <c r="D43" s="4">
        <v>4</v>
      </c>
      <c r="E43" s="4">
        <v>5</v>
      </c>
      <c r="F43" s="4">
        <v>5</v>
      </c>
      <c r="G43" s="4">
        <v>5</v>
      </c>
      <c r="H43" s="4">
        <v>5</v>
      </c>
      <c r="I43" s="4">
        <v>5</v>
      </c>
      <c r="J43" s="4">
        <v>34</v>
      </c>
      <c r="K43" s="4">
        <v>97.142857142857096</v>
      </c>
      <c r="M43">
        <f>+COUNT(Table1[[#This Row],[Need]:[Overall]])</f>
        <v>7</v>
      </c>
    </row>
    <row r="44" spans="1:13" hidden="1" x14ac:dyDescent="0.2">
      <c r="A44" s="2" t="s">
        <v>16</v>
      </c>
      <c r="B44" s="2" t="s">
        <v>17</v>
      </c>
      <c r="C44" s="4" t="s">
        <v>13</v>
      </c>
      <c r="D44" s="4" t="s">
        <v>13</v>
      </c>
      <c r="E44" s="4" t="s">
        <v>13</v>
      </c>
      <c r="F44" s="4" t="s">
        <v>13</v>
      </c>
      <c r="G44" s="4" t="s">
        <v>13</v>
      </c>
      <c r="H44" s="4" t="s">
        <v>13</v>
      </c>
      <c r="I44" s="4" t="s">
        <v>13</v>
      </c>
      <c r="J44" s="3"/>
      <c r="K44" s="3" t="s">
        <v>121</v>
      </c>
      <c r="M44">
        <f>+COUNT(Table1[[#This Row],[Need]:[Overall]])</f>
        <v>0</v>
      </c>
    </row>
    <row r="45" spans="1:13" hidden="1" x14ac:dyDescent="0.2">
      <c r="A45" s="2" t="s">
        <v>16</v>
      </c>
      <c r="B45" s="2" t="s">
        <v>17</v>
      </c>
      <c r="C45" s="4">
        <v>5</v>
      </c>
      <c r="D45" s="4">
        <v>5</v>
      </c>
      <c r="E45" s="4">
        <v>5</v>
      </c>
      <c r="F45" s="4">
        <v>5</v>
      </c>
      <c r="G45" s="4">
        <v>5</v>
      </c>
      <c r="H45" s="4">
        <v>5</v>
      </c>
      <c r="I45" s="4">
        <v>5</v>
      </c>
      <c r="J45" s="4">
        <v>35</v>
      </c>
      <c r="K45" s="4">
        <v>100</v>
      </c>
      <c r="M45">
        <f>+COUNT(Table1[[#This Row],[Need]:[Overall]])</f>
        <v>7</v>
      </c>
    </row>
    <row r="46" spans="1:13" hidden="1" x14ac:dyDescent="0.2">
      <c r="A46" s="2" t="s">
        <v>16</v>
      </c>
      <c r="B46" s="2" t="s">
        <v>17</v>
      </c>
      <c r="C46" s="4">
        <v>5</v>
      </c>
      <c r="D46" s="4">
        <v>5</v>
      </c>
      <c r="E46" s="4">
        <v>5</v>
      </c>
      <c r="F46" s="4">
        <v>5</v>
      </c>
      <c r="G46" s="4">
        <v>5</v>
      </c>
      <c r="H46" s="4">
        <v>5</v>
      </c>
      <c r="I46" s="4">
        <v>5</v>
      </c>
      <c r="J46" s="4">
        <v>35</v>
      </c>
      <c r="K46" s="4">
        <v>100</v>
      </c>
      <c r="M46">
        <f>+COUNT(Table1[[#This Row],[Need]:[Overall]])</f>
        <v>7</v>
      </c>
    </row>
    <row r="47" spans="1:13" hidden="1" x14ac:dyDescent="0.2">
      <c r="A47" s="2" t="s">
        <v>18</v>
      </c>
      <c r="B47" s="2" t="s">
        <v>19</v>
      </c>
      <c r="C47" s="4">
        <v>3</v>
      </c>
      <c r="D47" s="4">
        <v>4</v>
      </c>
      <c r="E47" s="4">
        <v>3</v>
      </c>
      <c r="F47" s="4">
        <v>4</v>
      </c>
      <c r="G47" s="4">
        <v>5</v>
      </c>
      <c r="H47" s="4">
        <v>4</v>
      </c>
      <c r="I47" s="4">
        <v>3</v>
      </c>
      <c r="J47" s="4">
        <v>26</v>
      </c>
      <c r="K47" s="4">
        <v>74.285714285714306</v>
      </c>
      <c r="M47">
        <f>+COUNT(Table1[[#This Row],[Need]:[Overall]])</f>
        <v>7</v>
      </c>
    </row>
    <row r="48" spans="1:13" hidden="1" x14ac:dyDescent="0.2">
      <c r="A48" s="2" t="s">
        <v>18</v>
      </c>
      <c r="B48" s="2" t="s">
        <v>19</v>
      </c>
      <c r="C48" s="4">
        <v>4</v>
      </c>
      <c r="D48" s="4">
        <v>5</v>
      </c>
      <c r="E48" s="4">
        <v>5</v>
      </c>
      <c r="F48" s="4">
        <v>4</v>
      </c>
      <c r="G48" s="4">
        <v>4</v>
      </c>
      <c r="H48" s="4">
        <v>4</v>
      </c>
      <c r="I48" s="4">
        <v>4</v>
      </c>
      <c r="J48" s="4">
        <v>30</v>
      </c>
      <c r="K48" s="4">
        <v>85.714285714285694</v>
      </c>
      <c r="M48">
        <f>+COUNT(Table1[[#This Row],[Need]:[Overall]])</f>
        <v>7</v>
      </c>
    </row>
    <row r="49" spans="1:13" hidden="1" x14ac:dyDescent="0.2">
      <c r="A49" s="2" t="s">
        <v>18</v>
      </c>
      <c r="B49" s="2" t="s">
        <v>19</v>
      </c>
      <c r="C49" s="4">
        <v>5</v>
      </c>
      <c r="D49" s="4">
        <v>5</v>
      </c>
      <c r="E49" s="4">
        <v>4</v>
      </c>
      <c r="F49" s="4">
        <v>4</v>
      </c>
      <c r="G49" s="4">
        <v>5</v>
      </c>
      <c r="H49" s="4">
        <v>5</v>
      </c>
      <c r="I49" s="4">
        <v>5</v>
      </c>
      <c r="J49" s="4">
        <v>33</v>
      </c>
      <c r="K49" s="4">
        <v>94.285714285714306</v>
      </c>
      <c r="M49">
        <f>+COUNT(Table1[[#This Row],[Need]:[Overall]])</f>
        <v>7</v>
      </c>
    </row>
    <row r="50" spans="1:13" hidden="1" x14ac:dyDescent="0.2">
      <c r="A50" s="2" t="s">
        <v>18</v>
      </c>
      <c r="B50" s="2" t="s">
        <v>19</v>
      </c>
      <c r="C50" s="4">
        <v>3</v>
      </c>
      <c r="D50" s="4">
        <v>3</v>
      </c>
      <c r="E50" s="4">
        <v>3</v>
      </c>
      <c r="F50" s="4">
        <v>3</v>
      </c>
      <c r="G50" s="4">
        <v>4</v>
      </c>
      <c r="H50" s="4">
        <v>3</v>
      </c>
      <c r="I50" s="4">
        <v>3</v>
      </c>
      <c r="J50" s="4">
        <v>22</v>
      </c>
      <c r="K50" s="4">
        <v>62.857142857142897</v>
      </c>
      <c r="M50">
        <f>+COUNT(Table1[[#This Row],[Need]:[Overall]])</f>
        <v>7</v>
      </c>
    </row>
    <row r="51" spans="1:13" hidden="1" x14ac:dyDescent="0.2">
      <c r="A51" s="2" t="s">
        <v>18</v>
      </c>
      <c r="B51" s="2" t="s">
        <v>19</v>
      </c>
      <c r="C51" s="4">
        <v>5</v>
      </c>
      <c r="D51" s="4">
        <v>4</v>
      </c>
      <c r="E51" s="4">
        <v>4</v>
      </c>
      <c r="F51" s="4">
        <v>5</v>
      </c>
      <c r="G51" s="4">
        <v>5</v>
      </c>
      <c r="H51" s="4">
        <v>5</v>
      </c>
      <c r="I51" s="4">
        <v>5</v>
      </c>
      <c r="J51" s="4">
        <v>33</v>
      </c>
      <c r="K51" s="4">
        <v>94.285714285714306</v>
      </c>
      <c r="M51">
        <f>+COUNT(Table1[[#This Row],[Need]:[Overall]])</f>
        <v>7</v>
      </c>
    </row>
    <row r="52" spans="1:13" hidden="1" x14ac:dyDescent="0.2">
      <c r="A52" s="2" t="s">
        <v>18</v>
      </c>
      <c r="B52" s="2" t="s">
        <v>19</v>
      </c>
      <c r="C52" s="4">
        <v>4</v>
      </c>
      <c r="D52" s="4">
        <v>5</v>
      </c>
      <c r="E52" s="4">
        <v>4</v>
      </c>
      <c r="F52" s="4">
        <v>4</v>
      </c>
      <c r="G52" s="4">
        <v>5</v>
      </c>
      <c r="H52" s="4">
        <v>4</v>
      </c>
      <c r="I52" s="4">
        <v>5</v>
      </c>
      <c r="J52" s="4">
        <v>31</v>
      </c>
      <c r="K52" s="4">
        <v>88.571428571428598</v>
      </c>
      <c r="M52">
        <f>+COUNT(Table1[[#This Row],[Need]:[Overall]])</f>
        <v>7</v>
      </c>
    </row>
    <row r="53" spans="1:13" hidden="1" x14ac:dyDescent="0.2">
      <c r="A53" s="2" t="s">
        <v>18</v>
      </c>
      <c r="B53" s="2" t="s">
        <v>19</v>
      </c>
      <c r="C53" s="4">
        <v>5</v>
      </c>
      <c r="D53" s="4">
        <v>4</v>
      </c>
      <c r="E53" s="4">
        <v>3</v>
      </c>
      <c r="F53" s="4">
        <v>4</v>
      </c>
      <c r="G53" s="4">
        <v>5</v>
      </c>
      <c r="H53" s="4">
        <v>5</v>
      </c>
      <c r="I53" s="4">
        <v>4</v>
      </c>
      <c r="J53" s="4">
        <v>30</v>
      </c>
      <c r="K53" s="4">
        <v>85.714285714285694</v>
      </c>
      <c r="M53">
        <f>+COUNT(Table1[[#This Row],[Need]:[Overall]])</f>
        <v>7</v>
      </c>
    </row>
    <row r="54" spans="1:13" hidden="1" x14ac:dyDescent="0.2">
      <c r="A54" s="2" t="s">
        <v>18</v>
      </c>
      <c r="B54" s="2" t="s">
        <v>19</v>
      </c>
      <c r="C54" s="4">
        <v>5</v>
      </c>
      <c r="D54" s="4">
        <v>4</v>
      </c>
      <c r="E54" s="4">
        <v>5</v>
      </c>
      <c r="F54" s="4">
        <v>4</v>
      </c>
      <c r="G54" s="4">
        <v>5</v>
      </c>
      <c r="H54" s="4">
        <v>5</v>
      </c>
      <c r="I54" s="4">
        <v>5</v>
      </c>
      <c r="J54" s="4">
        <v>33</v>
      </c>
      <c r="K54" s="4">
        <v>94.285714285714306</v>
      </c>
      <c r="M54">
        <f>+COUNT(Table1[[#This Row],[Need]:[Overall]])</f>
        <v>7</v>
      </c>
    </row>
    <row r="55" spans="1:13" hidden="1" x14ac:dyDescent="0.2">
      <c r="A55" s="2" t="s">
        <v>18</v>
      </c>
      <c r="B55" s="2" t="s">
        <v>19</v>
      </c>
      <c r="C55" s="4">
        <v>5</v>
      </c>
      <c r="D55" s="4">
        <v>5</v>
      </c>
      <c r="E55" s="4">
        <v>4</v>
      </c>
      <c r="F55" s="4">
        <v>5</v>
      </c>
      <c r="G55" s="4">
        <v>5</v>
      </c>
      <c r="H55" s="4">
        <v>5</v>
      </c>
      <c r="I55" s="4">
        <v>5</v>
      </c>
      <c r="J55" s="4">
        <v>34</v>
      </c>
      <c r="K55" s="4">
        <v>97.142857142857096</v>
      </c>
      <c r="M55">
        <f>+COUNT(Table1[[#This Row],[Need]:[Overall]])</f>
        <v>7</v>
      </c>
    </row>
    <row r="56" spans="1:13" hidden="1" x14ac:dyDescent="0.2">
      <c r="A56" s="2" t="s">
        <v>18</v>
      </c>
      <c r="B56" s="2" t="s">
        <v>19</v>
      </c>
      <c r="C56" s="4">
        <v>5</v>
      </c>
      <c r="D56" s="4">
        <v>5</v>
      </c>
      <c r="E56" s="4">
        <v>3</v>
      </c>
      <c r="F56" s="4">
        <v>5</v>
      </c>
      <c r="G56" s="4">
        <v>5</v>
      </c>
      <c r="H56" s="4">
        <v>4</v>
      </c>
      <c r="I56" s="4">
        <v>5</v>
      </c>
      <c r="J56" s="4">
        <v>32</v>
      </c>
      <c r="K56" s="4">
        <v>91.428571428571402</v>
      </c>
      <c r="M56">
        <f>+COUNT(Table1[[#This Row],[Need]:[Overall]])</f>
        <v>7</v>
      </c>
    </row>
    <row r="57" spans="1:13" hidden="1" x14ac:dyDescent="0.2">
      <c r="A57" s="2" t="s">
        <v>18</v>
      </c>
      <c r="B57" s="2" t="s">
        <v>19</v>
      </c>
      <c r="C57" s="4">
        <v>5</v>
      </c>
      <c r="D57" s="4">
        <v>4</v>
      </c>
      <c r="E57" s="4">
        <v>4</v>
      </c>
      <c r="F57" s="4">
        <v>5</v>
      </c>
      <c r="G57" s="4">
        <v>5</v>
      </c>
      <c r="H57" s="4">
        <v>4</v>
      </c>
      <c r="I57" s="4">
        <v>5</v>
      </c>
      <c r="J57" s="4">
        <v>32</v>
      </c>
      <c r="K57" s="4">
        <v>91.428571428571402</v>
      </c>
      <c r="M57">
        <f>+COUNT(Table1[[#This Row],[Need]:[Overall]])</f>
        <v>7</v>
      </c>
    </row>
    <row r="58" spans="1:13" hidden="1" x14ac:dyDescent="0.2">
      <c r="A58" s="2" t="s">
        <v>18</v>
      </c>
      <c r="B58" s="2" t="s">
        <v>19</v>
      </c>
      <c r="C58" s="4">
        <v>5</v>
      </c>
      <c r="D58" s="4">
        <v>5</v>
      </c>
      <c r="E58" s="4">
        <v>4</v>
      </c>
      <c r="F58" s="4">
        <v>5</v>
      </c>
      <c r="G58" s="4">
        <v>5</v>
      </c>
      <c r="H58" s="4">
        <v>5</v>
      </c>
      <c r="I58" s="4">
        <v>5</v>
      </c>
      <c r="J58" s="4">
        <v>34</v>
      </c>
      <c r="K58" s="4">
        <v>97.142857142857096</v>
      </c>
      <c r="M58">
        <f>+COUNT(Table1[[#This Row],[Need]:[Overall]])</f>
        <v>7</v>
      </c>
    </row>
    <row r="59" spans="1:13" hidden="1" x14ac:dyDescent="0.2">
      <c r="A59" s="2" t="s">
        <v>18</v>
      </c>
      <c r="B59" s="2" t="s">
        <v>19</v>
      </c>
      <c r="C59" s="4" t="s">
        <v>13</v>
      </c>
      <c r="D59" s="4" t="s">
        <v>13</v>
      </c>
      <c r="E59" s="4" t="s">
        <v>13</v>
      </c>
      <c r="F59" s="4" t="s">
        <v>13</v>
      </c>
      <c r="G59" s="4" t="s">
        <v>13</v>
      </c>
      <c r="H59" s="4" t="s">
        <v>13</v>
      </c>
      <c r="I59" s="4" t="s">
        <v>13</v>
      </c>
      <c r="J59" s="3"/>
      <c r="K59" s="3" t="s">
        <v>121</v>
      </c>
      <c r="M59">
        <f>+COUNT(Table1[[#This Row],[Need]:[Overall]])</f>
        <v>0</v>
      </c>
    </row>
    <row r="60" spans="1:13" hidden="1" x14ac:dyDescent="0.2">
      <c r="A60" s="2" t="s">
        <v>18</v>
      </c>
      <c r="B60" s="2" t="s">
        <v>19</v>
      </c>
      <c r="C60" s="4">
        <v>5</v>
      </c>
      <c r="D60" s="4">
        <v>4</v>
      </c>
      <c r="E60" s="4">
        <v>4</v>
      </c>
      <c r="F60" s="4">
        <v>5</v>
      </c>
      <c r="G60" s="4">
        <v>5</v>
      </c>
      <c r="H60" s="4">
        <v>5</v>
      </c>
      <c r="I60" s="4">
        <v>5</v>
      </c>
      <c r="J60" s="4">
        <v>33</v>
      </c>
      <c r="K60" s="4">
        <v>94.285714285714306</v>
      </c>
      <c r="M60">
        <f>+COUNT(Table1[[#This Row],[Need]:[Overall]])</f>
        <v>7</v>
      </c>
    </row>
    <row r="61" spans="1:13" hidden="1" x14ac:dyDescent="0.2">
      <c r="A61" s="2" t="s">
        <v>18</v>
      </c>
      <c r="B61" s="2" t="s">
        <v>19</v>
      </c>
      <c r="C61" s="4">
        <v>5</v>
      </c>
      <c r="D61" s="4">
        <v>5</v>
      </c>
      <c r="E61" s="4">
        <v>4</v>
      </c>
      <c r="F61" s="4">
        <v>4</v>
      </c>
      <c r="G61" s="4">
        <v>5</v>
      </c>
      <c r="H61" s="4">
        <v>4</v>
      </c>
      <c r="I61" s="4">
        <v>5</v>
      </c>
      <c r="J61" s="4">
        <v>32</v>
      </c>
      <c r="K61" s="4">
        <v>91.428571428571402</v>
      </c>
      <c r="M61">
        <f>+COUNT(Table1[[#This Row],[Need]:[Overall]])</f>
        <v>7</v>
      </c>
    </row>
    <row r="62" spans="1:13" hidden="1" x14ac:dyDescent="0.2">
      <c r="A62" s="2" t="s">
        <v>20</v>
      </c>
      <c r="B62" s="2" t="s">
        <v>21</v>
      </c>
      <c r="C62" s="4">
        <v>4</v>
      </c>
      <c r="D62" s="4">
        <v>4</v>
      </c>
      <c r="E62" s="4">
        <v>3</v>
      </c>
      <c r="F62" s="4">
        <v>4</v>
      </c>
      <c r="G62" s="4">
        <v>4</v>
      </c>
      <c r="H62" s="4">
        <v>3</v>
      </c>
      <c r="I62" s="4">
        <v>4</v>
      </c>
      <c r="J62" s="4">
        <v>26</v>
      </c>
      <c r="K62" s="4">
        <v>74.285714285714306</v>
      </c>
      <c r="M62">
        <f>+COUNT(Table1[[#This Row],[Need]:[Overall]])</f>
        <v>7</v>
      </c>
    </row>
    <row r="63" spans="1:13" hidden="1" x14ac:dyDescent="0.2">
      <c r="A63" s="2" t="s">
        <v>20</v>
      </c>
      <c r="B63" s="2" t="s">
        <v>21</v>
      </c>
      <c r="C63" s="4">
        <v>4</v>
      </c>
      <c r="D63" s="4">
        <v>4</v>
      </c>
      <c r="E63" s="4">
        <v>4</v>
      </c>
      <c r="F63" s="4">
        <v>3</v>
      </c>
      <c r="G63" s="4">
        <v>5</v>
      </c>
      <c r="H63" s="4">
        <v>4</v>
      </c>
      <c r="I63" s="4">
        <v>4</v>
      </c>
      <c r="J63" s="4">
        <v>28</v>
      </c>
      <c r="K63" s="4">
        <v>80</v>
      </c>
      <c r="M63">
        <f>+COUNT(Table1[[#This Row],[Need]:[Overall]])</f>
        <v>7</v>
      </c>
    </row>
    <row r="64" spans="1:13" hidden="1" x14ac:dyDescent="0.2">
      <c r="A64" s="2" t="s">
        <v>20</v>
      </c>
      <c r="B64" s="2" t="s">
        <v>21</v>
      </c>
      <c r="C64" s="4">
        <v>5</v>
      </c>
      <c r="D64" s="4">
        <v>4</v>
      </c>
      <c r="E64" s="4">
        <v>4</v>
      </c>
      <c r="F64" s="4">
        <v>5</v>
      </c>
      <c r="G64" s="4">
        <v>4</v>
      </c>
      <c r="H64" s="4">
        <v>5</v>
      </c>
      <c r="I64" s="4">
        <v>4</v>
      </c>
      <c r="J64" s="4">
        <v>31</v>
      </c>
      <c r="K64" s="4">
        <v>88.571428571428598</v>
      </c>
      <c r="M64">
        <f>+COUNT(Table1[[#This Row],[Need]:[Overall]])</f>
        <v>7</v>
      </c>
    </row>
    <row r="65" spans="1:14" hidden="1" x14ac:dyDescent="0.2">
      <c r="A65" s="2" t="s">
        <v>20</v>
      </c>
      <c r="B65" s="2" t="s">
        <v>21</v>
      </c>
      <c r="C65" s="4">
        <v>2</v>
      </c>
      <c r="D65" s="4">
        <v>2</v>
      </c>
      <c r="E65" s="4">
        <v>2</v>
      </c>
      <c r="F65" s="4">
        <v>2</v>
      </c>
      <c r="G65" s="4">
        <v>3</v>
      </c>
      <c r="H65" s="4">
        <v>2</v>
      </c>
      <c r="I65" s="4">
        <v>2</v>
      </c>
      <c r="J65" s="4">
        <v>15</v>
      </c>
      <c r="K65" s="4">
        <v>42.857142857142897</v>
      </c>
      <c r="M65">
        <f>+COUNT(Table1[[#This Row],[Need]:[Overall]])</f>
        <v>7</v>
      </c>
    </row>
    <row r="66" spans="1:14" hidden="1" x14ac:dyDescent="0.2">
      <c r="A66" s="2" t="s">
        <v>20</v>
      </c>
      <c r="B66" s="2" t="s">
        <v>21</v>
      </c>
      <c r="C66" s="4">
        <v>5</v>
      </c>
      <c r="D66" s="4">
        <v>5</v>
      </c>
      <c r="E66" s="4">
        <v>5</v>
      </c>
      <c r="F66" s="4">
        <v>5</v>
      </c>
      <c r="G66" s="4">
        <v>5</v>
      </c>
      <c r="H66" s="4">
        <v>5</v>
      </c>
      <c r="I66" s="4">
        <v>5</v>
      </c>
      <c r="J66" s="4">
        <v>35</v>
      </c>
      <c r="K66" s="4">
        <v>100</v>
      </c>
      <c r="M66">
        <f>+COUNT(Table1[[#This Row],[Need]:[Overall]])</f>
        <v>7</v>
      </c>
    </row>
    <row r="67" spans="1:14" hidden="1" x14ac:dyDescent="0.2">
      <c r="A67" s="2" t="s">
        <v>20</v>
      </c>
      <c r="B67" s="2" t="s">
        <v>21</v>
      </c>
      <c r="C67" s="4">
        <v>2</v>
      </c>
      <c r="D67" s="4">
        <v>2</v>
      </c>
      <c r="E67" s="4">
        <v>2</v>
      </c>
      <c r="F67" s="4">
        <v>3</v>
      </c>
      <c r="G67" s="4">
        <v>3</v>
      </c>
      <c r="H67" s="4">
        <v>2</v>
      </c>
      <c r="I67" s="4">
        <v>2</v>
      </c>
      <c r="J67" s="4">
        <v>16</v>
      </c>
      <c r="K67" s="4">
        <v>45.714285714285701</v>
      </c>
      <c r="M67">
        <f>+COUNT(Table1[[#This Row],[Need]:[Overall]])</f>
        <v>7</v>
      </c>
    </row>
    <row r="68" spans="1:14" hidden="1" x14ac:dyDescent="0.2">
      <c r="A68" s="2" t="s">
        <v>20</v>
      </c>
      <c r="B68" s="2" t="s">
        <v>21</v>
      </c>
      <c r="C68" s="4">
        <v>3</v>
      </c>
      <c r="D68" s="4">
        <v>3</v>
      </c>
      <c r="E68" s="4">
        <v>3</v>
      </c>
      <c r="F68" s="4">
        <v>3</v>
      </c>
      <c r="G68" s="4">
        <v>4</v>
      </c>
      <c r="H68" s="4">
        <v>3</v>
      </c>
      <c r="I68" s="4">
        <v>3</v>
      </c>
      <c r="J68" s="4">
        <v>22</v>
      </c>
      <c r="K68" s="4">
        <v>62.857142857142897</v>
      </c>
      <c r="M68">
        <f>+COUNT(Table1[[#This Row],[Need]:[Overall]])</f>
        <v>7</v>
      </c>
    </row>
    <row r="69" spans="1:14" hidden="1" x14ac:dyDescent="0.2">
      <c r="A69" s="2" t="s">
        <v>20</v>
      </c>
      <c r="B69" s="2" t="s">
        <v>21</v>
      </c>
      <c r="C69" s="4">
        <v>5</v>
      </c>
      <c r="D69" s="4">
        <v>4</v>
      </c>
      <c r="E69" s="4">
        <v>4</v>
      </c>
      <c r="F69" s="4">
        <v>4</v>
      </c>
      <c r="G69" s="4">
        <v>5</v>
      </c>
      <c r="H69" s="4">
        <v>4</v>
      </c>
      <c r="I69" s="4">
        <v>4</v>
      </c>
      <c r="J69" s="4">
        <v>30</v>
      </c>
      <c r="K69" s="4">
        <v>85.714285714285694</v>
      </c>
      <c r="M69">
        <f>+COUNT(Table1[[#This Row],[Need]:[Overall]])</f>
        <v>7</v>
      </c>
    </row>
    <row r="70" spans="1:14" hidden="1" x14ac:dyDescent="0.2">
      <c r="A70" s="2" t="s">
        <v>20</v>
      </c>
      <c r="B70" s="2" t="s">
        <v>21</v>
      </c>
      <c r="C70" s="4">
        <v>4</v>
      </c>
      <c r="D70" s="4">
        <v>4</v>
      </c>
      <c r="E70" s="4">
        <v>3</v>
      </c>
      <c r="F70" s="4">
        <v>4</v>
      </c>
      <c r="G70" s="4">
        <v>5</v>
      </c>
      <c r="H70" s="4">
        <v>5</v>
      </c>
      <c r="I70" s="4">
        <v>4</v>
      </c>
      <c r="J70" s="4">
        <v>29</v>
      </c>
      <c r="K70" s="4">
        <v>82.857142857142904</v>
      </c>
      <c r="M70">
        <f>+COUNT(Table1[[#This Row],[Need]:[Overall]])</f>
        <v>7</v>
      </c>
    </row>
    <row r="71" spans="1:14" hidden="1" x14ac:dyDescent="0.2">
      <c r="A71" s="2" t="s">
        <v>20</v>
      </c>
      <c r="B71" s="2" t="s">
        <v>21</v>
      </c>
      <c r="C71" s="4">
        <v>4</v>
      </c>
      <c r="D71" s="4">
        <v>3</v>
      </c>
      <c r="E71" s="4">
        <v>2</v>
      </c>
      <c r="F71" s="4">
        <v>3</v>
      </c>
      <c r="G71" s="4">
        <v>3</v>
      </c>
      <c r="H71" s="4">
        <v>3</v>
      </c>
      <c r="I71" s="4">
        <v>3</v>
      </c>
      <c r="J71" s="4">
        <v>21</v>
      </c>
      <c r="K71" s="4">
        <v>60</v>
      </c>
      <c r="M71">
        <f>+COUNT(Table1[[#This Row],[Need]:[Overall]])</f>
        <v>7</v>
      </c>
    </row>
    <row r="72" spans="1:14" hidden="1" x14ac:dyDescent="0.2">
      <c r="A72" s="2" t="s">
        <v>20</v>
      </c>
      <c r="B72" s="2" t="s">
        <v>21</v>
      </c>
      <c r="C72" s="4">
        <v>5</v>
      </c>
      <c r="D72" s="4">
        <v>5</v>
      </c>
      <c r="E72" s="4">
        <v>4</v>
      </c>
      <c r="F72" s="4">
        <v>4</v>
      </c>
      <c r="G72" s="4">
        <v>5</v>
      </c>
      <c r="H72" s="4">
        <v>4</v>
      </c>
      <c r="I72" s="4">
        <v>5</v>
      </c>
      <c r="J72" s="4">
        <v>32</v>
      </c>
      <c r="K72" s="4">
        <v>91.428571428571402</v>
      </c>
      <c r="M72">
        <f>+COUNT(Table1[[#This Row],[Need]:[Overall]])</f>
        <v>7</v>
      </c>
    </row>
    <row r="73" spans="1:14" hidden="1" x14ac:dyDescent="0.2">
      <c r="A73" s="2" t="s">
        <v>20</v>
      </c>
      <c r="B73" s="2" t="s">
        <v>21</v>
      </c>
      <c r="C73" s="4">
        <v>4</v>
      </c>
      <c r="D73" s="4">
        <v>3</v>
      </c>
      <c r="E73" s="4">
        <v>3</v>
      </c>
      <c r="F73" s="4">
        <v>3</v>
      </c>
      <c r="G73" s="4">
        <v>3</v>
      </c>
      <c r="H73" s="4">
        <v>3</v>
      </c>
      <c r="I73" s="4">
        <v>3</v>
      </c>
      <c r="J73" s="4">
        <v>22</v>
      </c>
      <c r="K73" s="4">
        <v>62.857142857142897</v>
      </c>
      <c r="M73">
        <f>+COUNT(Table1[[#This Row],[Need]:[Overall]])</f>
        <v>7</v>
      </c>
    </row>
    <row r="74" spans="1:14" hidden="1" x14ac:dyDescent="0.2">
      <c r="A74" s="2" t="s">
        <v>20</v>
      </c>
      <c r="B74" s="2" t="s">
        <v>21</v>
      </c>
      <c r="C74" s="4" t="s">
        <v>13</v>
      </c>
      <c r="D74" s="4" t="s">
        <v>13</v>
      </c>
      <c r="E74" s="4" t="s">
        <v>13</v>
      </c>
      <c r="F74" s="4" t="s">
        <v>13</v>
      </c>
      <c r="G74" s="4" t="s">
        <v>13</v>
      </c>
      <c r="H74" s="4" t="s">
        <v>13</v>
      </c>
      <c r="I74" s="4" t="s">
        <v>13</v>
      </c>
      <c r="J74" s="3"/>
      <c r="K74" s="3" t="s">
        <v>121</v>
      </c>
      <c r="M74">
        <f>+COUNT(Table1[[#This Row],[Need]:[Overall]])</f>
        <v>0</v>
      </c>
    </row>
    <row r="75" spans="1:14" hidden="1" x14ac:dyDescent="0.2">
      <c r="A75" s="2" t="s">
        <v>20</v>
      </c>
      <c r="B75" s="2" t="s">
        <v>21</v>
      </c>
      <c r="C75" s="4">
        <v>4</v>
      </c>
      <c r="D75" s="4">
        <v>4</v>
      </c>
      <c r="E75" s="4">
        <v>4</v>
      </c>
      <c r="F75" s="4">
        <v>4</v>
      </c>
      <c r="G75" s="4">
        <v>5</v>
      </c>
      <c r="H75" s="4">
        <v>4</v>
      </c>
      <c r="I75" s="4">
        <v>4</v>
      </c>
      <c r="J75" s="4">
        <v>29</v>
      </c>
      <c r="K75" s="4">
        <v>82.857142857142904</v>
      </c>
      <c r="M75">
        <f>+COUNT(Table1[[#This Row],[Need]:[Overall]])</f>
        <v>7</v>
      </c>
    </row>
    <row r="76" spans="1:14" hidden="1" x14ac:dyDescent="0.2">
      <c r="A76" s="2" t="s">
        <v>20</v>
      </c>
      <c r="B76" s="2" t="s">
        <v>21</v>
      </c>
      <c r="C76" s="4">
        <v>3</v>
      </c>
      <c r="D76" s="4">
        <v>3</v>
      </c>
      <c r="E76" s="4">
        <v>3</v>
      </c>
      <c r="F76" s="4">
        <v>3</v>
      </c>
      <c r="G76" s="4">
        <v>3</v>
      </c>
      <c r="H76" s="4">
        <v>3</v>
      </c>
      <c r="I76" s="4">
        <v>3</v>
      </c>
      <c r="J76" s="4">
        <v>21</v>
      </c>
      <c r="K76" s="4">
        <v>60</v>
      </c>
      <c r="M76">
        <f>+COUNT(Table1[[#This Row],[Need]:[Overall]])</f>
        <v>7</v>
      </c>
    </row>
    <row r="77" spans="1:14" x14ac:dyDescent="0.2">
      <c r="A77" s="2" t="s">
        <v>22</v>
      </c>
      <c r="B77" s="2" t="s">
        <v>23</v>
      </c>
      <c r="C77" s="4">
        <v>3</v>
      </c>
      <c r="D77" s="4">
        <v>3</v>
      </c>
      <c r="E77" s="4">
        <v>4</v>
      </c>
      <c r="F77" s="4">
        <v>5</v>
      </c>
      <c r="G77" s="4">
        <v>3</v>
      </c>
      <c r="H77" s="4">
        <v>5</v>
      </c>
      <c r="I77" s="4">
        <v>4</v>
      </c>
      <c r="J77" s="4">
        <v>27</v>
      </c>
      <c r="K77" s="4">
        <v>77.142857142857196</v>
      </c>
      <c r="M77">
        <f>+COUNT(Table1[[#This Row],[Need]:[Overall]])</f>
        <v>7</v>
      </c>
      <c r="N77">
        <f>+M77*5</f>
        <v>35</v>
      </c>
    </row>
    <row r="78" spans="1:14" x14ac:dyDescent="0.2">
      <c r="A78" s="2" t="s">
        <v>22</v>
      </c>
      <c r="B78" s="2" t="s">
        <v>23</v>
      </c>
      <c r="C78" s="4">
        <v>3</v>
      </c>
      <c r="D78" s="4">
        <v>3</v>
      </c>
      <c r="E78" s="4">
        <v>3</v>
      </c>
      <c r="F78" s="4">
        <v>4</v>
      </c>
      <c r="G78" s="4">
        <v>4</v>
      </c>
      <c r="H78" s="4">
        <v>3</v>
      </c>
      <c r="I78" s="4">
        <v>3</v>
      </c>
      <c r="J78" s="4">
        <v>23</v>
      </c>
      <c r="K78" s="4">
        <v>65.714285714285694</v>
      </c>
      <c r="M78">
        <f>+COUNT(Table1[[#This Row],[Need]:[Overall]])</f>
        <v>7</v>
      </c>
      <c r="N78">
        <f t="shared" ref="N78:N91" si="1">+M78*5</f>
        <v>35</v>
      </c>
    </row>
    <row r="79" spans="1:14" x14ac:dyDescent="0.2">
      <c r="A79" s="2" t="s">
        <v>22</v>
      </c>
      <c r="B79" s="2" t="s">
        <v>23</v>
      </c>
      <c r="C79" s="4">
        <v>4</v>
      </c>
      <c r="D79" s="4">
        <v>4</v>
      </c>
      <c r="E79" s="4">
        <v>3</v>
      </c>
      <c r="F79" s="4">
        <v>4</v>
      </c>
      <c r="G79" s="4">
        <v>4</v>
      </c>
      <c r="H79" s="4">
        <v>4</v>
      </c>
      <c r="I79" s="4">
        <v>4</v>
      </c>
      <c r="J79" s="4">
        <v>27</v>
      </c>
      <c r="K79" s="4">
        <v>77.142857142857196</v>
      </c>
      <c r="M79">
        <f>+COUNT(Table1[[#This Row],[Need]:[Overall]])</f>
        <v>7</v>
      </c>
      <c r="N79">
        <f t="shared" si="1"/>
        <v>35</v>
      </c>
    </row>
    <row r="80" spans="1:14" x14ac:dyDescent="0.2">
      <c r="A80" s="2" t="s">
        <v>22</v>
      </c>
      <c r="B80" s="2" t="s">
        <v>23</v>
      </c>
      <c r="C80" s="4">
        <v>4</v>
      </c>
      <c r="D80" s="4">
        <v>4</v>
      </c>
      <c r="E80" s="4">
        <v>4</v>
      </c>
      <c r="F80" s="4">
        <v>4</v>
      </c>
      <c r="G80" s="4">
        <v>4</v>
      </c>
      <c r="H80" s="4">
        <v>3</v>
      </c>
      <c r="I80" s="4">
        <v>4</v>
      </c>
      <c r="J80" s="4">
        <v>27</v>
      </c>
      <c r="K80" s="4">
        <v>77.142857142857196</v>
      </c>
      <c r="M80">
        <f>+COUNT(Table1[[#This Row],[Need]:[Overall]])</f>
        <v>7</v>
      </c>
      <c r="N80">
        <f t="shared" si="1"/>
        <v>35</v>
      </c>
    </row>
    <row r="81" spans="1:16" x14ac:dyDescent="0.2">
      <c r="A81" s="2" t="s">
        <v>22</v>
      </c>
      <c r="B81" s="2" t="s">
        <v>23</v>
      </c>
      <c r="C81" s="4">
        <v>5</v>
      </c>
      <c r="D81" s="4">
        <v>4</v>
      </c>
      <c r="E81" s="4">
        <v>5</v>
      </c>
      <c r="F81" s="4">
        <v>4</v>
      </c>
      <c r="G81" s="4">
        <v>4</v>
      </c>
      <c r="H81" s="4">
        <v>5</v>
      </c>
      <c r="I81" s="4">
        <v>5</v>
      </c>
      <c r="J81" s="4">
        <v>32</v>
      </c>
      <c r="K81" s="4">
        <v>91.428571428571402</v>
      </c>
      <c r="M81">
        <f>+COUNT(Table1[[#This Row],[Need]:[Overall]])</f>
        <v>7</v>
      </c>
      <c r="N81">
        <f t="shared" si="1"/>
        <v>35</v>
      </c>
    </row>
    <row r="82" spans="1:16" x14ac:dyDescent="0.2">
      <c r="A82" s="2" t="s">
        <v>22</v>
      </c>
      <c r="B82" s="2" t="s">
        <v>23</v>
      </c>
      <c r="C82" s="4">
        <v>3</v>
      </c>
      <c r="D82" s="4">
        <v>3</v>
      </c>
      <c r="E82" s="4">
        <v>3</v>
      </c>
      <c r="F82" s="4">
        <v>3</v>
      </c>
      <c r="G82" s="4">
        <v>3</v>
      </c>
      <c r="H82" s="4">
        <v>3</v>
      </c>
      <c r="I82" s="4">
        <v>3</v>
      </c>
      <c r="J82" s="4">
        <v>21</v>
      </c>
      <c r="K82" s="4">
        <v>60</v>
      </c>
      <c r="M82">
        <f>+COUNT(Table1[[#This Row],[Need]:[Overall]])</f>
        <v>7</v>
      </c>
      <c r="N82">
        <f t="shared" si="1"/>
        <v>35</v>
      </c>
    </row>
    <row r="83" spans="1:16" x14ac:dyDescent="0.2">
      <c r="A83" s="2" t="s">
        <v>22</v>
      </c>
      <c r="B83" s="2" t="s">
        <v>23</v>
      </c>
      <c r="C83" s="4">
        <v>3</v>
      </c>
      <c r="D83" s="4">
        <v>3</v>
      </c>
      <c r="E83" s="4">
        <v>3</v>
      </c>
      <c r="F83" s="4">
        <v>3</v>
      </c>
      <c r="G83" s="4">
        <v>3</v>
      </c>
      <c r="H83" s="4">
        <v>3</v>
      </c>
      <c r="I83" s="4">
        <v>3</v>
      </c>
      <c r="J83" s="4">
        <v>21</v>
      </c>
      <c r="K83" s="4">
        <v>60</v>
      </c>
      <c r="M83">
        <f>+COUNT(Table1[[#This Row],[Need]:[Overall]])</f>
        <v>7</v>
      </c>
      <c r="N83">
        <f t="shared" si="1"/>
        <v>35</v>
      </c>
    </row>
    <row r="84" spans="1:16" x14ac:dyDescent="0.2">
      <c r="A84" s="2" t="s">
        <v>22</v>
      </c>
      <c r="B84" s="2" t="s">
        <v>23</v>
      </c>
      <c r="C84" s="4">
        <v>4</v>
      </c>
      <c r="D84" s="4">
        <v>4</v>
      </c>
      <c r="E84" s="4">
        <v>4</v>
      </c>
      <c r="F84" s="4">
        <v>4</v>
      </c>
      <c r="G84" s="4">
        <v>4</v>
      </c>
      <c r="H84" s="4">
        <v>4</v>
      </c>
      <c r="I84" s="4">
        <v>4</v>
      </c>
      <c r="J84" s="4">
        <v>28</v>
      </c>
      <c r="K84" s="4">
        <v>80</v>
      </c>
      <c r="M84">
        <f>+COUNT(Table1[[#This Row],[Need]:[Overall]])</f>
        <v>7</v>
      </c>
      <c r="N84">
        <f t="shared" si="1"/>
        <v>35</v>
      </c>
    </row>
    <row r="85" spans="1:16" x14ac:dyDescent="0.2">
      <c r="A85" s="2" t="s">
        <v>22</v>
      </c>
      <c r="B85" s="2" t="s">
        <v>23</v>
      </c>
      <c r="C85" s="4">
        <v>5</v>
      </c>
      <c r="D85" s="4">
        <v>5</v>
      </c>
      <c r="E85" s="4">
        <v>5</v>
      </c>
      <c r="F85" s="4">
        <v>5</v>
      </c>
      <c r="G85" s="4">
        <v>5</v>
      </c>
      <c r="H85" s="4">
        <v>5</v>
      </c>
      <c r="I85" s="4">
        <v>5</v>
      </c>
      <c r="J85" s="4">
        <v>35</v>
      </c>
      <c r="K85" s="4">
        <v>100</v>
      </c>
      <c r="M85">
        <f>+COUNT(Table1[[#This Row],[Need]:[Overall]])</f>
        <v>7</v>
      </c>
      <c r="N85">
        <f t="shared" si="1"/>
        <v>35</v>
      </c>
    </row>
    <row r="86" spans="1:16" x14ac:dyDescent="0.2">
      <c r="A86" s="2" t="s">
        <v>22</v>
      </c>
      <c r="B86" s="2" t="s">
        <v>23</v>
      </c>
      <c r="C86" s="4">
        <v>5</v>
      </c>
      <c r="D86" s="4">
        <v>4</v>
      </c>
      <c r="E86" s="4">
        <v>3</v>
      </c>
      <c r="F86" s="4">
        <v>3</v>
      </c>
      <c r="G86" s="4">
        <v>4</v>
      </c>
      <c r="H86" s="4">
        <v>5</v>
      </c>
      <c r="I86" s="4">
        <v>4</v>
      </c>
      <c r="J86" s="4">
        <v>28</v>
      </c>
      <c r="K86" s="4">
        <v>80</v>
      </c>
      <c r="M86">
        <f>+COUNT(Table1[[#This Row],[Need]:[Overall]])</f>
        <v>7</v>
      </c>
      <c r="N86">
        <f t="shared" si="1"/>
        <v>35</v>
      </c>
    </row>
    <row r="87" spans="1:16" x14ac:dyDescent="0.2">
      <c r="A87" s="2" t="s">
        <v>22</v>
      </c>
      <c r="B87" s="2" t="s">
        <v>23</v>
      </c>
      <c r="C87" s="4">
        <v>5</v>
      </c>
      <c r="D87" s="4">
        <v>4</v>
      </c>
      <c r="E87" s="4">
        <v>5</v>
      </c>
      <c r="F87" s="4">
        <v>5</v>
      </c>
      <c r="G87" s="4">
        <v>4</v>
      </c>
      <c r="H87" s="4">
        <v>4</v>
      </c>
      <c r="I87" s="4">
        <v>5</v>
      </c>
      <c r="J87" s="4">
        <v>32</v>
      </c>
      <c r="K87" s="4">
        <v>91.428571428571402</v>
      </c>
      <c r="M87">
        <f>+COUNT(Table1[[#This Row],[Need]:[Overall]])</f>
        <v>7</v>
      </c>
      <c r="N87">
        <f t="shared" si="1"/>
        <v>35</v>
      </c>
    </row>
    <row r="88" spans="1:16" x14ac:dyDescent="0.2">
      <c r="A88" s="2" t="s">
        <v>22</v>
      </c>
      <c r="B88" s="2" t="s">
        <v>23</v>
      </c>
      <c r="C88" s="4">
        <v>5</v>
      </c>
      <c r="D88" s="4">
        <v>4</v>
      </c>
      <c r="E88" s="4">
        <v>4</v>
      </c>
      <c r="F88" s="4">
        <v>3</v>
      </c>
      <c r="G88" s="4">
        <v>4</v>
      </c>
      <c r="H88" s="4">
        <v>4</v>
      </c>
      <c r="I88" s="4">
        <v>4</v>
      </c>
      <c r="J88" s="4">
        <v>28</v>
      </c>
      <c r="K88" s="4">
        <v>80</v>
      </c>
      <c r="M88">
        <f>+COUNT(Table1[[#This Row],[Need]:[Overall]])</f>
        <v>7</v>
      </c>
      <c r="N88">
        <f t="shared" si="1"/>
        <v>35</v>
      </c>
    </row>
    <row r="89" spans="1:16" x14ac:dyDescent="0.2">
      <c r="A89" s="2" t="s">
        <v>22</v>
      </c>
      <c r="B89" s="2" t="s">
        <v>23</v>
      </c>
      <c r="C89" s="4" t="s">
        <v>13</v>
      </c>
      <c r="D89" s="4" t="s">
        <v>13</v>
      </c>
      <c r="E89" s="4" t="s">
        <v>13</v>
      </c>
      <c r="F89" s="4" t="s">
        <v>13</v>
      </c>
      <c r="G89" s="4" t="s">
        <v>13</v>
      </c>
      <c r="H89" s="4" t="s">
        <v>13</v>
      </c>
      <c r="I89" s="4" t="s">
        <v>13</v>
      </c>
      <c r="J89" s="3"/>
      <c r="K89" s="3" t="s">
        <v>121</v>
      </c>
      <c r="M89">
        <f>+COUNT(Table1[[#This Row],[Need]:[Overall]])</f>
        <v>0</v>
      </c>
      <c r="N89">
        <f t="shared" si="1"/>
        <v>0</v>
      </c>
    </row>
    <row r="90" spans="1:16" x14ac:dyDescent="0.2">
      <c r="A90" s="2" t="s">
        <v>22</v>
      </c>
      <c r="B90" s="2" t="s">
        <v>23</v>
      </c>
      <c r="C90" s="4">
        <v>5</v>
      </c>
      <c r="D90" s="4">
        <v>5</v>
      </c>
      <c r="E90" s="4">
        <v>4</v>
      </c>
      <c r="F90" s="4">
        <v>4</v>
      </c>
      <c r="G90" s="4">
        <v>5</v>
      </c>
      <c r="H90" s="4">
        <v>5</v>
      </c>
      <c r="I90" s="4">
        <v>5</v>
      </c>
      <c r="J90" s="4">
        <v>33</v>
      </c>
      <c r="K90" s="4">
        <v>94.285714285714306</v>
      </c>
      <c r="M90">
        <f>+COUNT(Table1[[#This Row],[Need]:[Overall]])</f>
        <v>7</v>
      </c>
      <c r="N90">
        <f t="shared" si="1"/>
        <v>35</v>
      </c>
    </row>
    <row r="91" spans="1:16" x14ac:dyDescent="0.2">
      <c r="A91" s="2" t="s">
        <v>22</v>
      </c>
      <c r="B91" s="2" t="s">
        <v>23</v>
      </c>
      <c r="C91" s="4" t="s">
        <v>13</v>
      </c>
      <c r="D91" s="4" t="s">
        <v>13</v>
      </c>
      <c r="E91" s="4" t="s">
        <v>13</v>
      </c>
      <c r="F91" s="4" t="s">
        <v>13</v>
      </c>
      <c r="G91" s="4" t="s">
        <v>13</v>
      </c>
      <c r="H91" s="4" t="s">
        <v>13</v>
      </c>
      <c r="I91" s="4" t="s">
        <v>13</v>
      </c>
      <c r="J91" s="3"/>
      <c r="K91" s="3" t="s">
        <v>121</v>
      </c>
      <c r="M91">
        <f>+COUNT(Table1[[#This Row],[Need]:[Overall]])</f>
        <v>0</v>
      </c>
      <c r="N91">
        <f t="shared" si="1"/>
        <v>0</v>
      </c>
      <c r="O91">
        <f>+SUM(N77:N91)</f>
        <v>455</v>
      </c>
      <c r="P91" s="184">
        <f>+SUM(C77:I91)/O91</f>
        <v>0.79560439560439555</v>
      </c>
    </row>
    <row r="92" spans="1:16" hidden="1" x14ac:dyDescent="0.2">
      <c r="A92" s="2" t="s">
        <v>24</v>
      </c>
      <c r="B92" s="2" t="s">
        <v>25</v>
      </c>
      <c r="C92" s="4">
        <v>4</v>
      </c>
      <c r="D92" s="4">
        <v>4</v>
      </c>
      <c r="E92" s="4">
        <v>3</v>
      </c>
      <c r="F92" s="4">
        <v>2</v>
      </c>
      <c r="G92" s="4">
        <v>3</v>
      </c>
      <c r="H92" s="4">
        <v>1</v>
      </c>
      <c r="I92" s="4">
        <v>3</v>
      </c>
      <c r="J92" s="4">
        <v>20</v>
      </c>
      <c r="K92" s="4">
        <v>57.142857142857103</v>
      </c>
      <c r="M92">
        <f>+COUNT(Table1[[#This Row],[Need]:[Overall]])</f>
        <v>7</v>
      </c>
    </row>
    <row r="93" spans="1:16" hidden="1" x14ac:dyDescent="0.2">
      <c r="A93" s="2" t="s">
        <v>24</v>
      </c>
      <c r="B93" s="2" t="s">
        <v>25</v>
      </c>
      <c r="C93" s="4">
        <v>5</v>
      </c>
      <c r="D93" s="4">
        <v>5</v>
      </c>
      <c r="E93" s="4">
        <v>5</v>
      </c>
      <c r="F93" s="4">
        <v>5</v>
      </c>
      <c r="G93" s="4">
        <v>5</v>
      </c>
      <c r="H93" s="4">
        <v>5</v>
      </c>
      <c r="I93" s="4">
        <v>5</v>
      </c>
      <c r="J93" s="4">
        <v>35</v>
      </c>
      <c r="K93" s="4">
        <v>100</v>
      </c>
      <c r="M93">
        <f>+COUNT(Table1[[#This Row],[Need]:[Overall]])</f>
        <v>7</v>
      </c>
    </row>
    <row r="94" spans="1:16" hidden="1" x14ac:dyDescent="0.2">
      <c r="A94" s="2" t="s">
        <v>24</v>
      </c>
      <c r="B94" s="2" t="s">
        <v>25</v>
      </c>
      <c r="C94" s="4">
        <v>4</v>
      </c>
      <c r="D94" s="4">
        <v>4</v>
      </c>
      <c r="E94" s="4">
        <v>4</v>
      </c>
      <c r="F94" s="4">
        <v>5</v>
      </c>
      <c r="G94" s="4">
        <v>5</v>
      </c>
      <c r="H94" s="4">
        <v>5</v>
      </c>
      <c r="I94" s="4">
        <v>5</v>
      </c>
      <c r="J94" s="4">
        <v>32</v>
      </c>
      <c r="K94" s="4">
        <v>91.428571428571402</v>
      </c>
      <c r="M94">
        <f>+COUNT(Table1[[#This Row],[Need]:[Overall]])</f>
        <v>7</v>
      </c>
    </row>
    <row r="95" spans="1:16" hidden="1" x14ac:dyDescent="0.2">
      <c r="A95" s="2" t="s">
        <v>24</v>
      </c>
      <c r="B95" s="2" t="s">
        <v>25</v>
      </c>
      <c r="C95" s="4">
        <v>4</v>
      </c>
      <c r="D95" s="4">
        <v>4</v>
      </c>
      <c r="E95" s="4">
        <v>4</v>
      </c>
      <c r="F95" s="4">
        <v>4</v>
      </c>
      <c r="G95" s="4">
        <v>5</v>
      </c>
      <c r="H95" s="4">
        <v>4</v>
      </c>
      <c r="I95" s="4">
        <v>4</v>
      </c>
      <c r="J95" s="4">
        <v>29</v>
      </c>
      <c r="K95" s="4">
        <v>82.857142857142904</v>
      </c>
      <c r="M95">
        <f>+COUNT(Table1[[#This Row],[Need]:[Overall]])</f>
        <v>7</v>
      </c>
    </row>
    <row r="96" spans="1:16" hidden="1" x14ac:dyDescent="0.2">
      <c r="A96" s="2" t="s">
        <v>24</v>
      </c>
      <c r="B96" s="2" t="s">
        <v>25</v>
      </c>
      <c r="C96" s="4" t="s">
        <v>13</v>
      </c>
      <c r="D96" s="4" t="s">
        <v>13</v>
      </c>
      <c r="E96" s="4" t="s">
        <v>13</v>
      </c>
      <c r="F96" s="4" t="s">
        <v>13</v>
      </c>
      <c r="G96" s="4" t="s">
        <v>13</v>
      </c>
      <c r="H96" s="4" t="s">
        <v>13</v>
      </c>
      <c r="I96" s="4" t="s">
        <v>13</v>
      </c>
      <c r="J96" s="3"/>
      <c r="K96" s="3" t="s">
        <v>121</v>
      </c>
      <c r="M96">
        <f>+COUNT(Table1[[#This Row],[Need]:[Overall]])</f>
        <v>0</v>
      </c>
    </row>
    <row r="97" spans="1:13" hidden="1" x14ac:dyDescent="0.2">
      <c r="A97" s="2" t="s">
        <v>24</v>
      </c>
      <c r="B97" s="2" t="s">
        <v>25</v>
      </c>
      <c r="C97" s="4">
        <v>3</v>
      </c>
      <c r="D97" s="4">
        <v>3</v>
      </c>
      <c r="E97" s="4">
        <v>3</v>
      </c>
      <c r="F97" s="4">
        <v>4</v>
      </c>
      <c r="G97" s="4">
        <v>3</v>
      </c>
      <c r="H97" s="4">
        <v>3</v>
      </c>
      <c r="I97" s="4">
        <v>3</v>
      </c>
      <c r="J97" s="4">
        <v>22</v>
      </c>
      <c r="K97" s="4">
        <v>62.857142857142897</v>
      </c>
      <c r="M97">
        <f>+COUNT(Table1[[#This Row],[Need]:[Overall]])</f>
        <v>7</v>
      </c>
    </row>
    <row r="98" spans="1:13" hidden="1" x14ac:dyDescent="0.2">
      <c r="A98" s="2" t="s">
        <v>24</v>
      </c>
      <c r="B98" s="2" t="s">
        <v>25</v>
      </c>
      <c r="C98" s="4">
        <v>5</v>
      </c>
      <c r="D98" s="4">
        <v>5</v>
      </c>
      <c r="E98" s="4">
        <v>5</v>
      </c>
      <c r="F98" s="4">
        <v>5</v>
      </c>
      <c r="G98" s="4">
        <v>5</v>
      </c>
      <c r="H98" s="4">
        <v>5</v>
      </c>
      <c r="I98" s="4">
        <v>5</v>
      </c>
      <c r="J98" s="4">
        <v>35</v>
      </c>
      <c r="K98" s="4">
        <v>100</v>
      </c>
      <c r="M98">
        <f>+COUNT(Table1[[#This Row],[Need]:[Overall]])</f>
        <v>7</v>
      </c>
    </row>
    <row r="99" spans="1:13" hidden="1" x14ac:dyDescent="0.2">
      <c r="A99" s="2" t="s">
        <v>24</v>
      </c>
      <c r="B99" s="2" t="s">
        <v>25</v>
      </c>
      <c r="C99" s="4">
        <v>4</v>
      </c>
      <c r="D99" s="4">
        <v>4</v>
      </c>
      <c r="E99" s="4">
        <v>4</v>
      </c>
      <c r="F99" s="4">
        <v>5</v>
      </c>
      <c r="G99" s="4">
        <v>5</v>
      </c>
      <c r="H99" s="4">
        <v>5</v>
      </c>
      <c r="I99" s="4">
        <v>4</v>
      </c>
      <c r="J99" s="4">
        <v>31</v>
      </c>
      <c r="K99" s="4">
        <v>88.571428571428598</v>
      </c>
      <c r="M99">
        <f>+COUNT(Table1[[#This Row],[Need]:[Overall]])</f>
        <v>7</v>
      </c>
    </row>
    <row r="100" spans="1:13" hidden="1" x14ac:dyDescent="0.2">
      <c r="A100" s="2" t="s">
        <v>24</v>
      </c>
      <c r="B100" s="2" t="s">
        <v>25</v>
      </c>
      <c r="C100" s="4">
        <v>5</v>
      </c>
      <c r="D100" s="4">
        <v>5</v>
      </c>
      <c r="E100" s="4">
        <v>4</v>
      </c>
      <c r="F100" s="4">
        <v>5</v>
      </c>
      <c r="G100" s="4">
        <v>5</v>
      </c>
      <c r="H100" s="4">
        <v>5</v>
      </c>
      <c r="I100" s="4">
        <v>4</v>
      </c>
      <c r="J100" s="4">
        <v>33</v>
      </c>
      <c r="K100" s="4">
        <v>94.285714285714306</v>
      </c>
      <c r="M100">
        <f>+COUNT(Table1[[#This Row],[Need]:[Overall]])</f>
        <v>7</v>
      </c>
    </row>
    <row r="101" spans="1:13" hidden="1" x14ac:dyDescent="0.2">
      <c r="A101" s="2" t="s">
        <v>24</v>
      </c>
      <c r="B101" s="2" t="s">
        <v>25</v>
      </c>
      <c r="C101" s="4">
        <v>5</v>
      </c>
      <c r="D101" s="4">
        <v>4</v>
      </c>
      <c r="E101" s="4">
        <v>4</v>
      </c>
      <c r="F101" s="4">
        <v>5</v>
      </c>
      <c r="G101" s="4">
        <v>5</v>
      </c>
      <c r="H101" s="4">
        <v>5</v>
      </c>
      <c r="I101" s="4">
        <v>5</v>
      </c>
      <c r="J101" s="4">
        <v>33</v>
      </c>
      <c r="K101" s="4">
        <v>94.285714285714306</v>
      </c>
      <c r="M101">
        <f>+COUNT(Table1[[#This Row],[Need]:[Overall]])</f>
        <v>7</v>
      </c>
    </row>
    <row r="102" spans="1:13" hidden="1" x14ac:dyDescent="0.2">
      <c r="A102" s="2" t="s">
        <v>24</v>
      </c>
      <c r="B102" s="2" t="s">
        <v>25</v>
      </c>
      <c r="C102" s="4">
        <v>5</v>
      </c>
      <c r="D102" s="4">
        <v>5</v>
      </c>
      <c r="E102" s="4">
        <v>5</v>
      </c>
      <c r="F102" s="4">
        <v>5</v>
      </c>
      <c r="G102" s="4">
        <v>5</v>
      </c>
      <c r="H102" s="4">
        <v>5</v>
      </c>
      <c r="I102" s="4">
        <v>5</v>
      </c>
      <c r="J102" s="4">
        <v>35</v>
      </c>
      <c r="K102" s="4">
        <v>100</v>
      </c>
      <c r="M102">
        <f>+COUNT(Table1[[#This Row],[Need]:[Overall]])</f>
        <v>7</v>
      </c>
    </row>
    <row r="103" spans="1:13" hidden="1" x14ac:dyDescent="0.2">
      <c r="A103" s="2" t="s">
        <v>24</v>
      </c>
      <c r="B103" s="2" t="s">
        <v>25</v>
      </c>
      <c r="C103" s="4">
        <v>5</v>
      </c>
      <c r="D103" s="4">
        <v>5</v>
      </c>
      <c r="E103" s="4">
        <v>5</v>
      </c>
      <c r="F103" s="4">
        <v>5</v>
      </c>
      <c r="G103" s="4">
        <v>5</v>
      </c>
      <c r="H103" s="4">
        <v>5</v>
      </c>
      <c r="I103" s="4">
        <v>5</v>
      </c>
      <c r="J103" s="4">
        <v>35</v>
      </c>
      <c r="K103" s="4">
        <v>100</v>
      </c>
      <c r="M103">
        <f>+COUNT(Table1[[#This Row],[Need]:[Overall]])</f>
        <v>7</v>
      </c>
    </row>
    <row r="104" spans="1:13" hidden="1" x14ac:dyDescent="0.2">
      <c r="A104" s="2" t="s">
        <v>24</v>
      </c>
      <c r="B104" s="2" t="s">
        <v>25</v>
      </c>
      <c r="C104" s="4" t="s">
        <v>13</v>
      </c>
      <c r="D104" s="4" t="s">
        <v>13</v>
      </c>
      <c r="E104" s="4" t="s">
        <v>13</v>
      </c>
      <c r="F104" s="4" t="s">
        <v>13</v>
      </c>
      <c r="G104" s="4" t="s">
        <v>13</v>
      </c>
      <c r="H104" s="4" t="s">
        <v>13</v>
      </c>
      <c r="I104" s="4" t="s">
        <v>13</v>
      </c>
      <c r="J104" s="3"/>
      <c r="K104" s="3" t="s">
        <v>121</v>
      </c>
      <c r="M104">
        <f>+COUNT(Table1[[#This Row],[Need]:[Overall]])</f>
        <v>0</v>
      </c>
    </row>
    <row r="105" spans="1:13" hidden="1" x14ac:dyDescent="0.2">
      <c r="A105" s="2" t="s">
        <v>24</v>
      </c>
      <c r="B105" s="2" t="s">
        <v>25</v>
      </c>
      <c r="C105" s="4">
        <v>4</v>
      </c>
      <c r="D105" s="4">
        <v>5</v>
      </c>
      <c r="E105" s="4">
        <v>5</v>
      </c>
      <c r="F105" s="4">
        <v>5</v>
      </c>
      <c r="G105" s="4">
        <v>5</v>
      </c>
      <c r="H105" s="4">
        <v>5</v>
      </c>
      <c r="I105" s="4">
        <v>5</v>
      </c>
      <c r="J105" s="4">
        <v>34</v>
      </c>
      <c r="K105" s="4">
        <v>97.142857142857096</v>
      </c>
      <c r="M105">
        <f>+COUNT(Table1[[#This Row],[Need]:[Overall]])</f>
        <v>7</v>
      </c>
    </row>
    <row r="106" spans="1:13" hidden="1" x14ac:dyDescent="0.2">
      <c r="A106" s="2" t="s">
        <v>24</v>
      </c>
      <c r="B106" s="2" t="s">
        <v>25</v>
      </c>
      <c r="C106" s="4">
        <v>5</v>
      </c>
      <c r="D106" s="4">
        <v>5</v>
      </c>
      <c r="E106" s="4">
        <v>4</v>
      </c>
      <c r="F106" s="4">
        <v>5</v>
      </c>
      <c r="G106" s="4">
        <v>5</v>
      </c>
      <c r="H106" s="4">
        <v>5</v>
      </c>
      <c r="I106" s="4">
        <v>4</v>
      </c>
      <c r="J106" s="4">
        <v>33</v>
      </c>
      <c r="K106" s="4">
        <v>94.285714285714306</v>
      </c>
      <c r="M106">
        <f>+COUNT(Table1[[#This Row],[Need]:[Overall]])</f>
        <v>7</v>
      </c>
    </row>
    <row r="107" spans="1:13" hidden="1" x14ac:dyDescent="0.2">
      <c r="A107" s="2" t="s">
        <v>26</v>
      </c>
      <c r="B107" s="2" t="s">
        <v>27</v>
      </c>
      <c r="C107" s="4">
        <v>3</v>
      </c>
      <c r="D107" s="4">
        <v>3</v>
      </c>
      <c r="E107" s="4">
        <v>4</v>
      </c>
      <c r="F107" s="4">
        <v>4</v>
      </c>
      <c r="G107" s="4">
        <v>4</v>
      </c>
      <c r="H107" s="4">
        <v>3</v>
      </c>
      <c r="I107" s="4">
        <v>3</v>
      </c>
      <c r="J107" s="4">
        <v>24</v>
      </c>
      <c r="K107" s="4">
        <v>68.571428571428598</v>
      </c>
      <c r="M107">
        <f>+COUNT(Table1[[#This Row],[Need]:[Overall]])</f>
        <v>7</v>
      </c>
    </row>
    <row r="108" spans="1:13" hidden="1" x14ac:dyDescent="0.2">
      <c r="A108" s="2" t="s">
        <v>26</v>
      </c>
      <c r="B108" s="2" t="s">
        <v>27</v>
      </c>
      <c r="C108" s="4">
        <v>4</v>
      </c>
      <c r="D108" s="4">
        <v>3</v>
      </c>
      <c r="E108" s="4">
        <v>3</v>
      </c>
      <c r="F108" s="4">
        <v>4</v>
      </c>
      <c r="G108" s="4">
        <v>3</v>
      </c>
      <c r="H108" s="4">
        <v>3</v>
      </c>
      <c r="I108" s="4">
        <v>3</v>
      </c>
      <c r="J108" s="4">
        <v>23</v>
      </c>
      <c r="K108" s="4">
        <v>65.714285714285694</v>
      </c>
      <c r="M108">
        <f>+COUNT(Table1[[#This Row],[Need]:[Overall]])</f>
        <v>7</v>
      </c>
    </row>
    <row r="109" spans="1:13" hidden="1" x14ac:dyDescent="0.2">
      <c r="A109" s="2" t="s">
        <v>26</v>
      </c>
      <c r="B109" s="2" t="s">
        <v>27</v>
      </c>
      <c r="C109" s="4">
        <v>5</v>
      </c>
      <c r="D109" s="4">
        <v>5</v>
      </c>
      <c r="E109" s="4">
        <v>5</v>
      </c>
      <c r="F109" s="4">
        <v>5</v>
      </c>
      <c r="G109" s="4">
        <v>4</v>
      </c>
      <c r="H109" s="4">
        <v>4</v>
      </c>
      <c r="I109" s="4">
        <v>5</v>
      </c>
      <c r="J109" s="4">
        <v>33</v>
      </c>
      <c r="K109" s="4">
        <v>94.285714285714306</v>
      </c>
      <c r="M109">
        <f>+COUNT(Table1[[#This Row],[Need]:[Overall]])</f>
        <v>7</v>
      </c>
    </row>
    <row r="110" spans="1:13" hidden="1" x14ac:dyDescent="0.2">
      <c r="A110" s="2" t="s">
        <v>26</v>
      </c>
      <c r="B110" s="2" t="s">
        <v>27</v>
      </c>
      <c r="C110" s="4">
        <v>3</v>
      </c>
      <c r="D110" s="4">
        <v>3</v>
      </c>
      <c r="E110" s="4">
        <v>3</v>
      </c>
      <c r="F110" s="4">
        <v>2</v>
      </c>
      <c r="G110" s="4">
        <v>3</v>
      </c>
      <c r="H110" s="4">
        <v>3</v>
      </c>
      <c r="I110" s="4">
        <v>3</v>
      </c>
      <c r="J110" s="4">
        <v>20</v>
      </c>
      <c r="K110" s="4">
        <v>57.142857142857103</v>
      </c>
      <c r="M110">
        <f>+COUNT(Table1[[#This Row],[Need]:[Overall]])</f>
        <v>7</v>
      </c>
    </row>
    <row r="111" spans="1:13" hidden="1" x14ac:dyDescent="0.2">
      <c r="A111" s="2" t="s">
        <v>26</v>
      </c>
      <c r="B111" s="2" t="s">
        <v>27</v>
      </c>
      <c r="C111" s="4">
        <v>3</v>
      </c>
      <c r="D111" s="4">
        <v>4</v>
      </c>
      <c r="E111" s="4">
        <v>4</v>
      </c>
      <c r="F111" s="4">
        <v>4</v>
      </c>
      <c r="G111" s="4">
        <v>2</v>
      </c>
      <c r="H111" s="4">
        <v>4</v>
      </c>
      <c r="I111" s="4">
        <v>3</v>
      </c>
      <c r="J111" s="4">
        <v>24</v>
      </c>
      <c r="K111" s="4">
        <v>68.571428571428598</v>
      </c>
      <c r="M111">
        <f>+COUNT(Table1[[#This Row],[Need]:[Overall]])</f>
        <v>7</v>
      </c>
    </row>
    <row r="112" spans="1:13" hidden="1" x14ac:dyDescent="0.2">
      <c r="A112" s="2" t="s">
        <v>26</v>
      </c>
      <c r="B112" s="2" t="s">
        <v>27</v>
      </c>
      <c r="C112" s="4">
        <v>4</v>
      </c>
      <c r="D112" s="4">
        <v>4</v>
      </c>
      <c r="E112" s="4">
        <v>4</v>
      </c>
      <c r="F112" s="4">
        <v>4</v>
      </c>
      <c r="G112" s="4">
        <v>4</v>
      </c>
      <c r="H112" s="4">
        <v>4</v>
      </c>
      <c r="I112" s="4">
        <v>4</v>
      </c>
      <c r="J112" s="4">
        <v>28</v>
      </c>
      <c r="K112" s="4">
        <v>80</v>
      </c>
      <c r="M112">
        <f>+COUNT(Table1[[#This Row],[Need]:[Overall]])</f>
        <v>7</v>
      </c>
    </row>
    <row r="113" spans="1:13" hidden="1" x14ac:dyDescent="0.2">
      <c r="A113" s="2" t="s">
        <v>26</v>
      </c>
      <c r="B113" s="2" t="s">
        <v>27</v>
      </c>
      <c r="C113" s="4">
        <v>5</v>
      </c>
      <c r="D113" s="4">
        <v>5</v>
      </c>
      <c r="E113" s="4">
        <v>5</v>
      </c>
      <c r="F113" s="4">
        <v>4</v>
      </c>
      <c r="G113" s="4">
        <v>5</v>
      </c>
      <c r="H113" s="4">
        <v>3</v>
      </c>
      <c r="I113" s="4">
        <v>4</v>
      </c>
      <c r="J113" s="4">
        <v>31</v>
      </c>
      <c r="K113" s="4">
        <v>88.571428571428598</v>
      </c>
      <c r="M113">
        <f>+COUNT(Table1[[#This Row],[Need]:[Overall]])</f>
        <v>7</v>
      </c>
    </row>
    <row r="114" spans="1:13" hidden="1" x14ac:dyDescent="0.2">
      <c r="A114" s="2" t="s">
        <v>26</v>
      </c>
      <c r="B114" s="2" t="s">
        <v>27</v>
      </c>
      <c r="C114" s="4">
        <v>5</v>
      </c>
      <c r="D114" s="4">
        <v>4</v>
      </c>
      <c r="E114" s="4">
        <v>3</v>
      </c>
      <c r="F114" s="4">
        <v>4</v>
      </c>
      <c r="G114" s="4">
        <v>3</v>
      </c>
      <c r="H114" s="4">
        <v>4</v>
      </c>
      <c r="I114" s="4">
        <v>4</v>
      </c>
      <c r="J114" s="4">
        <v>27</v>
      </c>
      <c r="K114" s="4">
        <v>77.142857142857196</v>
      </c>
      <c r="M114">
        <f>+COUNT(Table1[[#This Row],[Need]:[Overall]])</f>
        <v>7</v>
      </c>
    </row>
    <row r="115" spans="1:13" hidden="1" x14ac:dyDescent="0.2">
      <c r="A115" s="2" t="s">
        <v>26</v>
      </c>
      <c r="B115" s="2" t="s">
        <v>27</v>
      </c>
      <c r="C115" s="4">
        <v>3</v>
      </c>
      <c r="D115" s="4">
        <v>4</v>
      </c>
      <c r="E115" s="4">
        <v>4</v>
      </c>
      <c r="F115" s="4">
        <v>5</v>
      </c>
      <c r="G115" s="4">
        <v>5</v>
      </c>
      <c r="H115" s="4">
        <v>4</v>
      </c>
      <c r="I115" s="4">
        <v>2</v>
      </c>
      <c r="J115" s="4">
        <v>27</v>
      </c>
      <c r="K115" s="4">
        <v>77.142857142857196</v>
      </c>
      <c r="M115">
        <f>+COUNT(Table1[[#This Row],[Need]:[Overall]])</f>
        <v>7</v>
      </c>
    </row>
    <row r="116" spans="1:13" hidden="1" x14ac:dyDescent="0.2">
      <c r="A116" s="2" t="s">
        <v>26</v>
      </c>
      <c r="B116" s="2" t="s">
        <v>27</v>
      </c>
      <c r="C116" s="4">
        <v>4</v>
      </c>
      <c r="D116" s="4">
        <v>4</v>
      </c>
      <c r="E116" s="4">
        <v>3</v>
      </c>
      <c r="F116" s="4">
        <v>4</v>
      </c>
      <c r="G116" s="4">
        <v>5</v>
      </c>
      <c r="H116" s="4">
        <v>4</v>
      </c>
      <c r="I116" s="4">
        <v>4</v>
      </c>
      <c r="J116" s="4">
        <v>28</v>
      </c>
      <c r="K116" s="4">
        <v>80</v>
      </c>
      <c r="M116">
        <f>+COUNT(Table1[[#This Row],[Need]:[Overall]])</f>
        <v>7</v>
      </c>
    </row>
    <row r="117" spans="1:13" hidden="1" x14ac:dyDescent="0.2">
      <c r="A117" s="2" t="s">
        <v>26</v>
      </c>
      <c r="B117" s="2" t="s">
        <v>27</v>
      </c>
      <c r="C117" s="4">
        <v>5</v>
      </c>
      <c r="D117" s="4">
        <v>4</v>
      </c>
      <c r="E117" s="4">
        <v>4</v>
      </c>
      <c r="F117" s="4">
        <v>5</v>
      </c>
      <c r="G117" s="4">
        <v>5</v>
      </c>
      <c r="H117" s="4">
        <v>4</v>
      </c>
      <c r="I117" s="4">
        <v>5</v>
      </c>
      <c r="J117" s="4">
        <v>32</v>
      </c>
      <c r="K117" s="4">
        <v>91.428571428571402</v>
      </c>
      <c r="M117">
        <f>+COUNT(Table1[[#This Row],[Need]:[Overall]])</f>
        <v>7</v>
      </c>
    </row>
    <row r="118" spans="1:13" hidden="1" x14ac:dyDescent="0.2">
      <c r="A118" s="2" t="s">
        <v>26</v>
      </c>
      <c r="B118" s="2" t="s">
        <v>27</v>
      </c>
      <c r="C118" s="4">
        <v>3</v>
      </c>
      <c r="D118" s="4">
        <v>3</v>
      </c>
      <c r="E118" s="4">
        <v>3</v>
      </c>
      <c r="F118" s="4">
        <v>3</v>
      </c>
      <c r="G118" s="4">
        <v>2</v>
      </c>
      <c r="H118" s="4">
        <v>3</v>
      </c>
      <c r="I118" s="4">
        <v>3</v>
      </c>
      <c r="J118" s="4">
        <v>20</v>
      </c>
      <c r="K118" s="4">
        <v>57.142857142857103</v>
      </c>
      <c r="M118">
        <f>+COUNT(Table1[[#This Row],[Need]:[Overall]])</f>
        <v>7</v>
      </c>
    </row>
    <row r="119" spans="1:13" hidden="1" x14ac:dyDescent="0.2">
      <c r="A119" s="2" t="s">
        <v>26</v>
      </c>
      <c r="B119" s="2" t="s">
        <v>27</v>
      </c>
      <c r="C119" s="4" t="s">
        <v>13</v>
      </c>
      <c r="D119" s="4" t="s">
        <v>13</v>
      </c>
      <c r="E119" s="4" t="s">
        <v>13</v>
      </c>
      <c r="F119" s="4" t="s">
        <v>13</v>
      </c>
      <c r="G119" s="4" t="s">
        <v>13</v>
      </c>
      <c r="H119" s="4" t="s">
        <v>13</v>
      </c>
      <c r="I119" s="4" t="s">
        <v>13</v>
      </c>
      <c r="J119" s="3"/>
      <c r="K119" s="3" t="s">
        <v>121</v>
      </c>
      <c r="M119">
        <f>+COUNT(Table1[[#This Row],[Need]:[Overall]])</f>
        <v>0</v>
      </c>
    </row>
    <row r="120" spans="1:13" hidden="1" x14ac:dyDescent="0.2">
      <c r="A120" s="2" t="s">
        <v>26</v>
      </c>
      <c r="B120" s="2" t="s">
        <v>27</v>
      </c>
      <c r="C120" s="4">
        <v>4</v>
      </c>
      <c r="D120" s="4">
        <v>4</v>
      </c>
      <c r="E120" s="4">
        <v>5</v>
      </c>
      <c r="F120" s="4">
        <v>4</v>
      </c>
      <c r="G120" s="4">
        <v>4</v>
      </c>
      <c r="H120" s="4">
        <v>4</v>
      </c>
      <c r="I120" s="4">
        <v>4</v>
      </c>
      <c r="J120" s="4">
        <v>29</v>
      </c>
      <c r="K120" s="4">
        <v>82.857142857142904</v>
      </c>
      <c r="M120">
        <f>+COUNT(Table1[[#This Row],[Need]:[Overall]])</f>
        <v>7</v>
      </c>
    </row>
    <row r="121" spans="1:13" hidden="1" x14ac:dyDescent="0.2">
      <c r="A121" s="2" t="s">
        <v>26</v>
      </c>
      <c r="B121" s="2" t="s">
        <v>27</v>
      </c>
      <c r="C121" s="4">
        <v>3</v>
      </c>
      <c r="D121" s="4">
        <v>3</v>
      </c>
      <c r="E121" s="4">
        <v>2</v>
      </c>
      <c r="F121" s="4">
        <v>4</v>
      </c>
      <c r="G121" s="4">
        <v>4</v>
      </c>
      <c r="H121" s="4">
        <v>2</v>
      </c>
      <c r="I121" s="4">
        <v>3</v>
      </c>
      <c r="J121" s="4">
        <v>21</v>
      </c>
      <c r="K121" s="4">
        <v>60</v>
      </c>
      <c r="M121">
        <f>+COUNT(Table1[[#This Row],[Need]:[Overall]])</f>
        <v>7</v>
      </c>
    </row>
    <row r="122" spans="1:13" hidden="1" x14ac:dyDescent="0.2">
      <c r="A122" s="2" t="s">
        <v>28</v>
      </c>
      <c r="B122" s="2" t="s">
        <v>29</v>
      </c>
      <c r="C122" s="4">
        <v>3</v>
      </c>
      <c r="D122" s="4">
        <v>2</v>
      </c>
      <c r="E122" s="4">
        <v>2</v>
      </c>
      <c r="F122" s="4">
        <v>2</v>
      </c>
      <c r="G122" s="4">
        <v>2</v>
      </c>
      <c r="H122" s="4">
        <v>3</v>
      </c>
      <c r="I122" s="4">
        <v>2</v>
      </c>
      <c r="J122" s="4">
        <v>16</v>
      </c>
      <c r="K122" s="4">
        <v>45.714285714285701</v>
      </c>
      <c r="M122">
        <f>+COUNT(Table1[[#This Row],[Need]:[Overall]])</f>
        <v>7</v>
      </c>
    </row>
    <row r="123" spans="1:13" hidden="1" x14ac:dyDescent="0.2">
      <c r="A123" s="2" t="s">
        <v>28</v>
      </c>
      <c r="B123" s="2" t="s">
        <v>29</v>
      </c>
      <c r="C123" s="4">
        <v>4</v>
      </c>
      <c r="D123" s="4">
        <v>4</v>
      </c>
      <c r="E123" s="4">
        <v>4</v>
      </c>
      <c r="F123" s="4">
        <v>4</v>
      </c>
      <c r="G123" s="4">
        <v>4</v>
      </c>
      <c r="H123" s="4">
        <v>4</v>
      </c>
      <c r="I123" s="4">
        <v>4</v>
      </c>
      <c r="J123" s="4">
        <v>28</v>
      </c>
      <c r="K123" s="4">
        <v>80</v>
      </c>
      <c r="M123">
        <f>+COUNT(Table1[[#This Row],[Need]:[Overall]])</f>
        <v>7</v>
      </c>
    </row>
    <row r="124" spans="1:13" hidden="1" x14ac:dyDescent="0.2">
      <c r="A124" s="2" t="s">
        <v>28</v>
      </c>
      <c r="B124" s="2" t="s">
        <v>29</v>
      </c>
      <c r="C124" s="4">
        <v>4</v>
      </c>
      <c r="D124" s="4">
        <v>4</v>
      </c>
      <c r="E124" s="4">
        <v>5</v>
      </c>
      <c r="F124" s="4">
        <v>4</v>
      </c>
      <c r="G124" s="4">
        <v>5</v>
      </c>
      <c r="H124" s="4">
        <v>4</v>
      </c>
      <c r="I124" s="4">
        <v>4</v>
      </c>
      <c r="J124" s="4">
        <v>30</v>
      </c>
      <c r="K124" s="4">
        <v>85.714285714285694</v>
      </c>
      <c r="M124">
        <f>+COUNT(Table1[[#This Row],[Need]:[Overall]])</f>
        <v>7</v>
      </c>
    </row>
    <row r="125" spans="1:13" hidden="1" x14ac:dyDescent="0.2">
      <c r="A125" s="2" t="s">
        <v>28</v>
      </c>
      <c r="B125" s="2" t="s">
        <v>29</v>
      </c>
      <c r="C125" s="4">
        <v>2</v>
      </c>
      <c r="D125" s="4">
        <v>2</v>
      </c>
      <c r="E125" s="4">
        <v>2</v>
      </c>
      <c r="F125" s="4">
        <v>2</v>
      </c>
      <c r="G125" s="4">
        <v>3</v>
      </c>
      <c r="H125" s="4">
        <v>2</v>
      </c>
      <c r="I125" s="4">
        <v>2</v>
      </c>
      <c r="J125" s="4">
        <v>15</v>
      </c>
      <c r="K125" s="4">
        <v>42.857142857142897</v>
      </c>
      <c r="M125">
        <f>+COUNT(Table1[[#This Row],[Need]:[Overall]])</f>
        <v>7</v>
      </c>
    </row>
    <row r="126" spans="1:13" hidden="1" x14ac:dyDescent="0.2">
      <c r="A126" s="2" t="s">
        <v>28</v>
      </c>
      <c r="B126" s="2" t="s">
        <v>29</v>
      </c>
      <c r="C126" s="4">
        <v>4</v>
      </c>
      <c r="D126" s="4">
        <v>3</v>
      </c>
      <c r="E126" s="4">
        <v>4</v>
      </c>
      <c r="F126" s="4">
        <v>5</v>
      </c>
      <c r="G126" s="4">
        <v>4</v>
      </c>
      <c r="H126" s="4">
        <v>5</v>
      </c>
      <c r="I126" s="4">
        <v>4</v>
      </c>
      <c r="J126" s="4">
        <v>29</v>
      </c>
      <c r="K126" s="4">
        <v>82.857142857142904</v>
      </c>
      <c r="M126">
        <f>+COUNT(Table1[[#This Row],[Need]:[Overall]])</f>
        <v>7</v>
      </c>
    </row>
    <row r="127" spans="1:13" hidden="1" x14ac:dyDescent="0.2">
      <c r="A127" s="2" t="s">
        <v>28</v>
      </c>
      <c r="B127" s="2" t="s">
        <v>29</v>
      </c>
      <c r="C127" s="4">
        <v>2</v>
      </c>
      <c r="D127" s="4">
        <v>2</v>
      </c>
      <c r="E127" s="4">
        <v>2</v>
      </c>
      <c r="F127" s="4">
        <v>3</v>
      </c>
      <c r="G127" s="4">
        <v>2</v>
      </c>
      <c r="H127" s="4">
        <v>2</v>
      </c>
      <c r="I127" s="4">
        <v>2</v>
      </c>
      <c r="J127" s="4">
        <v>15</v>
      </c>
      <c r="K127" s="4">
        <v>42.857142857142897</v>
      </c>
      <c r="M127">
        <f>+COUNT(Table1[[#This Row],[Need]:[Overall]])</f>
        <v>7</v>
      </c>
    </row>
    <row r="128" spans="1:13" hidden="1" x14ac:dyDescent="0.2">
      <c r="A128" s="2" t="s">
        <v>28</v>
      </c>
      <c r="B128" s="2" t="s">
        <v>29</v>
      </c>
      <c r="C128" s="4">
        <v>3</v>
      </c>
      <c r="D128" s="4">
        <v>2</v>
      </c>
      <c r="E128" s="4">
        <v>2</v>
      </c>
      <c r="F128" s="4">
        <v>2</v>
      </c>
      <c r="G128" s="4">
        <v>3</v>
      </c>
      <c r="H128" s="4">
        <v>3</v>
      </c>
      <c r="I128" s="4">
        <v>2</v>
      </c>
      <c r="J128" s="4">
        <v>17</v>
      </c>
      <c r="K128" s="4">
        <v>48.571428571428598</v>
      </c>
      <c r="M128">
        <f>+COUNT(Table1[[#This Row],[Need]:[Overall]])</f>
        <v>7</v>
      </c>
    </row>
    <row r="129" spans="1:13" hidden="1" x14ac:dyDescent="0.2">
      <c r="A129" s="2" t="s">
        <v>28</v>
      </c>
      <c r="B129" s="2" t="s">
        <v>29</v>
      </c>
      <c r="C129" s="4">
        <v>4</v>
      </c>
      <c r="D129" s="4">
        <v>5</v>
      </c>
      <c r="E129" s="4">
        <v>4</v>
      </c>
      <c r="F129" s="4">
        <v>4</v>
      </c>
      <c r="G129" s="4">
        <v>4</v>
      </c>
      <c r="H129" s="4">
        <v>4</v>
      </c>
      <c r="I129" s="4">
        <v>3</v>
      </c>
      <c r="J129" s="4">
        <v>28</v>
      </c>
      <c r="K129" s="4">
        <v>80</v>
      </c>
      <c r="M129">
        <f>+COUNT(Table1[[#This Row],[Need]:[Overall]])</f>
        <v>7</v>
      </c>
    </row>
    <row r="130" spans="1:13" hidden="1" x14ac:dyDescent="0.2">
      <c r="A130" s="2" t="s">
        <v>28</v>
      </c>
      <c r="B130" s="2" t="s">
        <v>29</v>
      </c>
      <c r="C130" s="4">
        <v>2</v>
      </c>
      <c r="D130" s="4">
        <v>3</v>
      </c>
      <c r="E130" s="4">
        <v>3</v>
      </c>
      <c r="F130" s="4">
        <v>3</v>
      </c>
      <c r="G130" s="4">
        <v>4</v>
      </c>
      <c r="H130" s="4">
        <v>4</v>
      </c>
      <c r="I130" s="4">
        <v>1</v>
      </c>
      <c r="J130" s="4">
        <v>20</v>
      </c>
      <c r="K130" s="4">
        <v>57.142857142857103</v>
      </c>
      <c r="M130">
        <f>+COUNT(Table1[[#This Row],[Need]:[Overall]])</f>
        <v>7</v>
      </c>
    </row>
    <row r="131" spans="1:13" hidden="1" x14ac:dyDescent="0.2">
      <c r="A131" s="2" t="s">
        <v>28</v>
      </c>
      <c r="B131" s="2" t="s">
        <v>29</v>
      </c>
      <c r="C131" s="4">
        <v>4</v>
      </c>
      <c r="D131" s="4">
        <v>1</v>
      </c>
      <c r="E131" s="4">
        <v>3</v>
      </c>
      <c r="F131" s="4">
        <v>2</v>
      </c>
      <c r="G131" s="4">
        <v>4</v>
      </c>
      <c r="H131" s="4">
        <v>3</v>
      </c>
      <c r="I131" s="4">
        <v>3</v>
      </c>
      <c r="J131" s="4">
        <v>20</v>
      </c>
      <c r="K131" s="4">
        <v>57.142857142857103</v>
      </c>
      <c r="M131">
        <f>+COUNT(Table1[[#This Row],[Need]:[Overall]])</f>
        <v>7</v>
      </c>
    </row>
    <row r="132" spans="1:13" hidden="1" x14ac:dyDescent="0.2">
      <c r="A132" s="2" t="s">
        <v>28</v>
      </c>
      <c r="B132" s="2" t="s">
        <v>29</v>
      </c>
      <c r="C132" s="4">
        <v>4</v>
      </c>
      <c r="D132" s="4">
        <v>3</v>
      </c>
      <c r="E132" s="4">
        <v>4</v>
      </c>
      <c r="F132" s="4">
        <v>4</v>
      </c>
      <c r="G132" s="4">
        <v>4</v>
      </c>
      <c r="H132" s="4">
        <v>4</v>
      </c>
      <c r="I132" s="4">
        <v>4</v>
      </c>
      <c r="J132" s="4">
        <v>27</v>
      </c>
      <c r="K132" s="4">
        <v>77.142857142857196</v>
      </c>
      <c r="M132">
        <f>+COUNT(Table1[[#This Row],[Need]:[Overall]])</f>
        <v>7</v>
      </c>
    </row>
    <row r="133" spans="1:13" hidden="1" x14ac:dyDescent="0.2">
      <c r="A133" s="2" t="s">
        <v>28</v>
      </c>
      <c r="B133" s="2" t="s">
        <v>29</v>
      </c>
      <c r="C133" s="4">
        <v>3</v>
      </c>
      <c r="D133" s="4">
        <v>3</v>
      </c>
      <c r="E133" s="4">
        <v>3</v>
      </c>
      <c r="F133" s="4">
        <v>3</v>
      </c>
      <c r="G133" s="4">
        <v>3</v>
      </c>
      <c r="H133" s="4">
        <v>3</v>
      </c>
      <c r="I133" s="4">
        <v>3</v>
      </c>
      <c r="J133" s="4">
        <v>21</v>
      </c>
      <c r="K133" s="4">
        <v>60</v>
      </c>
      <c r="M133">
        <f>+COUNT(Table1[[#This Row],[Need]:[Overall]])</f>
        <v>7</v>
      </c>
    </row>
    <row r="134" spans="1:13" hidden="1" x14ac:dyDescent="0.2">
      <c r="A134" s="2" t="s">
        <v>28</v>
      </c>
      <c r="B134" s="2" t="s">
        <v>29</v>
      </c>
      <c r="C134" s="4" t="s">
        <v>13</v>
      </c>
      <c r="D134" s="4" t="s">
        <v>13</v>
      </c>
      <c r="E134" s="4" t="s">
        <v>13</v>
      </c>
      <c r="F134" s="4" t="s">
        <v>13</v>
      </c>
      <c r="G134" s="4" t="s">
        <v>13</v>
      </c>
      <c r="H134" s="4" t="s">
        <v>13</v>
      </c>
      <c r="I134" s="4" t="s">
        <v>13</v>
      </c>
      <c r="J134" s="3"/>
      <c r="K134" s="3" t="s">
        <v>121</v>
      </c>
      <c r="M134">
        <f>+COUNT(Table1[[#This Row],[Need]:[Overall]])</f>
        <v>0</v>
      </c>
    </row>
    <row r="135" spans="1:13" hidden="1" x14ac:dyDescent="0.2">
      <c r="A135" s="2" t="s">
        <v>28</v>
      </c>
      <c r="B135" s="2" t="s">
        <v>29</v>
      </c>
      <c r="C135" s="4">
        <v>3</v>
      </c>
      <c r="D135" s="4">
        <v>4</v>
      </c>
      <c r="E135" s="4">
        <v>4</v>
      </c>
      <c r="F135" s="4">
        <v>4</v>
      </c>
      <c r="G135" s="4">
        <v>3</v>
      </c>
      <c r="H135" s="4">
        <v>3</v>
      </c>
      <c r="I135" s="4">
        <v>3</v>
      </c>
      <c r="J135" s="4">
        <v>24</v>
      </c>
      <c r="K135" s="4">
        <v>68.571428571428598</v>
      </c>
      <c r="M135">
        <f>+COUNT(Table1[[#This Row],[Need]:[Overall]])</f>
        <v>7</v>
      </c>
    </row>
    <row r="136" spans="1:13" hidden="1" x14ac:dyDescent="0.2">
      <c r="A136" s="2" t="s">
        <v>28</v>
      </c>
      <c r="B136" s="2" t="s">
        <v>29</v>
      </c>
      <c r="C136" s="4">
        <v>3</v>
      </c>
      <c r="D136" s="4">
        <v>3</v>
      </c>
      <c r="E136" s="4">
        <v>3</v>
      </c>
      <c r="F136" s="4">
        <v>3</v>
      </c>
      <c r="G136" s="4">
        <v>2</v>
      </c>
      <c r="H136" s="4">
        <v>3</v>
      </c>
      <c r="I136" s="4">
        <v>2</v>
      </c>
      <c r="J136" s="4">
        <v>19</v>
      </c>
      <c r="K136" s="4">
        <v>54.285714285714299</v>
      </c>
      <c r="M136">
        <f>+COUNT(Table1[[#This Row],[Need]:[Overall]])</f>
        <v>7</v>
      </c>
    </row>
    <row r="137" spans="1:13" hidden="1" x14ac:dyDescent="0.2">
      <c r="A137" s="2" t="s">
        <v>30</v>
      </c>
      <c r="B137" s="2" t="s">
        <v>31</v>
      </c>
      <c r="C137" s="4">
        <v>4</v>
      </c>
      <c r="D137" s="4">
        <v>3</v>
      </c>
      <c r="E137" s="4">
        <v>3</v>
      </c>
      <c r="F137" s="4">
        <v>4</v>
      </c>
      <c r="G137" s="4">
        <v>3</v>
      </c>
      <c r="H137" s="4">
        <v>3</v>
      </c>
      <c r="I137" s="4">
        <v>3</v>
      </c>
      <c r="J137" s="4">
        <v>23</v>
      </c>
      <c r="K137" s="4">
        <v>65.714285714285694</v>
      </c>
      <c r="M137">
        <f>+COUNT(Table1[[#This Row],[Need]:[Overall]])</f>
        <v>7</v>
      </c>
    </row>
    <row r="138" spans="1:13" hidden="1" x14ac:dyDescent="0.2">
      <c r="A138" s="2" t="s">
        <v>30</v>
      </c>
      <c r="B138" s="2" t="s">
        <v>31</v>
      </c>
      <c r="C138" s="4">
        <v>3</v>
      </c>
      <c r="D138" s="4">
        <v>3</v>
      </c>
      <c r="E138" s="4">
        <v>3</v>
      </c>
      <c r="F138" s="4">
        <v>3</v>
      </c>
      <c r="G138" s="4">
        <v>2</v>
      </c>
      <c r="H138" s="4">
        <v>3</v>
      </c>
      <c r="I138" s="4">
        <v>3</v>
      </c>
      <c r="J138" s="4">
        <v>20</v>
      </c>
      <c r="K138" s="4">
        <v>57.142857142857103</v>
      </c>
      <c r="M138">
        <f>+COUNT(Table1[[#This Row],[Need]:[Overall]])</f>
        <v>7</v>
      </c>
    </row>
    <row r="139" spans="1:13" hidden="1" x14ac:dyDescent="0.2">
      <c r="A139" s="2" t="s">
        <v>30</v>
      </c>
      <c r="B139" s="2" t="s">
        <v>31</v>
      </c>
      <c r="C139" s="4">
        <v>4</v>
      </c>
      <c r="D139" s="4">
        <v>5</v>
      </c>
      <c r="E139" s="4">
        <v>5</v>
      </c>
      <c r="F139" s="4">
        <v>5</v>
      </c>
      <c r="G139" s="4">
        <v>4</v>
      </c>
      <c r="H139" s="4">
        <v>5</v>
      </c>
      <c r="I139" s="4">
        <v>5</v>
      </c>
      <c r="J139" s="4">
        <v>33</v>
      </c>
      <c r="K139" s="4">
        <v>94.285714285714306</v>
      </c>
      <c r="M139">
        <f>+COUNT(Table1[[#This Row],[Need]:[Overall]])</f>
        <v>7</v>
      </c>
    </row>
    <row r="140" spans="1:13" hidden="1" x14ac:dyDescent="0.2">
      <c r="A140" s="2" t="s">
        <v>30</v>
      </c>
      <c r="B140" s="2" t="s">
        <v>31</v>
      </c>
      <c r="C140" s="4">
        <v>3</v>
      </c>
      <c r="D140" s="4">
        <v>2</v>
      </c>
      <c r="E140" s="4">
        <v>2</v>
      </c>
      <c r="F140" s="4">
        <v>2</v>
      </c>
      <c r="G140" s="4">
        <v>3</v>
      </c>
      <c r="H140" s="4">
        <v>3</v>
      </c>
      <c r="I140" s="4">
        <v>3</v>
      </c>
      <c r="J140" s="4">
        <v>18</v>
      </c>
      <c r="K140" s="4">
        <v>51.428571428571402</v>
      </c>
      <c r="M140">
        <f>+COUNT(Table1[[#This Row],[Need]:[Overall]])</f>
        <v>7</v>
      </c>
    </row>
    <row r="141" spans="1:13" hidden="1" x14ac:dyDescent="0.2">
      <c r="A141" s="2" t="s">
        <v>30</v>
      </c>
      <c r="B141" s="2" t="s">
        <v>31</v>
      </c>
      <c r="C141" s="4">
        <v>5</v>
      </c>
      <c r="D141" s="4">
        <v>5</v>
      </c>
      <c r="E141" s="4">
        <v>5</v>
      </c>
      <c r="F141" s="4">
        <v>5</v>
      </c>
      <c r="G141" s="4">
        <v>3</v>
      </c>
      <c r="H141" s="4">
        <v>5</v>
      </c>
      <c r="I141" s="4">
        <v>5</v>
      </c>
      <c r="J141" s="4">
        <v>33</v>
      </c>
      <c r="K141" s="4">
        <v>94.285714285714306</v>
      </c>
      <c r="M141">
        <f>+COUNT(Table1[[#This Row],[Need]:[Overall]])</f>
        <v>7</v>
      </c>
    </row>
    <row r="142" spans="1:13" hidden="1" x14ac:dyDescent="0.2">
      <c r="A142" s="2" t="s">
        <v>30</v>
      </c>
      <c r="B142" s="2" t="s">
        <v>31</v>
      </c>
      <c r="C142" s="4">
        <v>4</v>
      </c>
      <c r="D142" s="4">
        <v>3</v>
      </c>
      <c r="E142" s="4">
        <v>4</v>
      </c>
      <c r="F142" s="4">
        <v>3</v>
      </c>
      <c r="G142" s="4">
        <v>3</v>
      </c>
      <c r="H142" s="4">
        <v>3</v>
      </c>
      <c r="I142" s="4">
        <v>3</v>
      </c>
      <c r="J142" s="4">
        <v>23</v>
      </c>
      <c r="K142" s="4">
        <v>65.714285714285694</v>
      </c>
      <c r="M142">
        <f>+COUNT(Table1[[#This Row],[Need]:[Overall]])</f>
        <v>7</v>
      </c>
    </row>
    <row r="143" spans="1:13" hidden="1" x14ac:dyDescent="0.2">
      <c r="A143" s="2" t="s">
        <v>30</v>
      </c>
      <c r="B143" s="2" t="s">
        <v>31</v>
      </c>
      <c r="C143" s="4">
        <v>5</v>
      </c>
      <c r="D143" s="4">
        <v>4</v>
      </c>
      <c r="E143" s="4">
        <v>4</v>
      </c>
      <c r="F143" s="4">
        <v>4</v>
      </c>
      <c r="G143" s="4">
        <v>5</v>
      </c>
      <c r="H143" s="4">
        <v>4</v>
      </c>
      <c r="I143" s="4">
        <v>4</v>
      </c>
      <c r="J143" s="4">
        <v>30</v>
      </c>
      <c r="K143" s="4">
        <v>85.714285714285694</v>
      </c>
      <c r="M143">
        <f>+COUNT(Table1[[#This Row],[Need]:[Overall]])</f>
        <v>7</v>
      </c>
    </row>
    <row r="144" spans="1:13" hidden="1" x14ac:dyDescent="0.2">
      <c r="A144" s="2" t="s">
        <v>30</v>
      </c>
      <c r="B144" s="2" t="s">
        <v>31</v>
      </c>
      <c r="C144" s="4">
        <v>5</v>
      </c>
      <c r="D144" s="4">
        <v>4</v>
      </c>
      <c r="E144" s="4">
        <v>3</v>
      </c>
      <c r="F144" s="4">
        <v>4</v>
      </c>
      <c r="G144" s="4">
        <v>4</v>
      </c>
      <c r="H144" s="4">
        <v>4</v>
      </c>
      <c r="I144" s="4">
        <v>5</v>
      </c>
      <c r="J144" s="4">
        <v>29</v>
      </c>
      <c r="K144" s="4">
        <v>82.857142857142904</v>
      </c>
      <c r="M144">
        <f>+COUNT(Table1[[#This Row],[Need]:[Overall]])</f>
        <v>7</v>
      </c>
    </row>
    <row r="145" spans="1:13" hidden="1" x14ac:dyDescent="0.2">
      <c r="A145" s="2" t="s">
        <v>30</v>
      </c>
      <c r="B145" s="2" t="s">
        <v>31</v>
      </c>
      <c r="C145" s="4">
        <v>5</v>
      </c>
      <c r="D145" s="4">
        <v>5</v>
      </c>
      <c r="E145" s="4">
        <v>5</v>
      </c>
      <c r="F145" s="4">
        <v>5</v>
      </c>
      <c r="G145" s="4">
        <v>4</v>
      </c>
      <c r="H145" s="4">
        <v>5</v>
      </c>
      <c r="I145" s="4">
        <v>5</v>
      </c>
      <c r="J145" s="4">
        <v>34</v>
      </c>
      <c r="K145" s="4">
        <v>97.142857142857096</v>
      </c>
      <c r="M145">
        <f>+COUNT(Table1[[#This Row],[Need]:[Overall]])</f>
        <v>7</v>
      </c>
    </row>
    <row r="146" spans="1:13" hidden="1" x14ac:dyDescent="0.2">
      <c r="A146" s="2" t="s">
        <v>30</v>
      </c>
      <c r="B146" s="2" t="s">
        <v>31</v>
      </c>
      <c r="C146" s="4">
        <v>5</v>
      </c>
      <c r="D146" s="4">
        <v>5</v>
      </c>
      <c r="E146" s="4">
        <v>4</v>
      </c>
      <c r="F146" s="4">
        <v>4</v>
      </c>
      <c r="G146" s="4">
        <v>4</v>
      </c>
      <c r="H146" s="4">
        <v>5</v>
      </c>
      <c r="I146" s="4">
        <v>5</v>
      </c>
      <c r="J146" s="4">
        <v>32</v>
      </c>
      <c r="K146" s="4">
        <v>91.428571428571402</v>
      </c>
      <c r="M146">
        <f>+COUNT(Table1[[#This Row],[Need]:[Overall]])</f>
        <v>7</v>
      </c>
    </row>
    <row r="147" spans="1:13" hidden="1" x14ac:dyDescent="0.2">
      <c r="A147" s="2" t="s">
        <v>30</v>
      </c>
      <c r="B147" s="2" t="s">
        <v>31</v>
      </c>
      <c r="C147" s="4">
        <v>5</v>
      </c>
      <c r="D147" s="4">
        <v>5</v>
      </c>
      <c r="E147" s="4">
        <v>4</v>
      </c>
      <c r="F147" s="4">
        <v>4</v>
      </c>
      <c r="G147" s="4">
        <v>4</v>
      </c>
      <c r="H147" s="4">
        <v>5</v>
      </c>
      <c r="I147" s="4">
        <v>5</v>
      </c>
      <c r="J147" s="4">
        <v>32</v>
      </c>
      <c r="K147" s="4">
        <v>91.428571428571402</v>
      </c>
      <c r="M147">
        <f>+COUNT(Table1[[#This Row],[Need]:[Overall]])</f>
        <v>7</v>
      </c>
    </row>
    <row r="148" spans="1:13" hidden="1" x14ac:dyDescent="0.2">
      <c r="A148" s="2" t="s">
        <v>30</v>
      </c>
      <c r="B148" s="2" t="s">
        <v>31</v>
      </c>
      <c r="C148" s="4">
        <v>5</v>
      </c>
      <c r="D148" s="4">
        <v>4</v>
      </c>
      <c r="E148" s="4">
        <v>4</v>
      </c>
      <c r="F148" s="4">
        <v>5</v>
      </c>
      <c r="G148" s="4">
        <v>3</v>
      </c>
      <c r="H148" s="4">
        <v>4</v>
      </c>
      <c r="I148" s="4">
        <v>5</v>
      </c>
      <c r="J148" s="4">
        <v>30</v>
      </c>
      <c r="K148" s="4">
        <v>85.714285714285694</v>
      </c>
      <c r="M148">
        <f>+COUNT(Table1[[#This Row],[Need]:[Overall]])</f>
        <v>7</v>
      </c>
    </row>
    <row r="149" spans="1:13" hidden="1" x14ac:dyDescent="0.2">
      <c r="A149" s="2" t="s">
        <v>30</v>
      </c>
      <c r="B149" s="2" t="s">
        <v>31</v>
      </c>
      <c r="C149" s="4" t="s">
        <v>13</v>
      </c>
      <c r="D149" s="4" t="s">
        <v>13</v>
      </c>
      <c r="E149" s="4" t="s">
        <v>13</v>
      </c>
      <c r="F149" s="4" t="s">
        <v>13</v>
      </c>
      <c r="G149" s="4" t="s">
        <v>13</v>
      </c>
      <c r="H149" s="4" t="s">
        <v>13</v>
      </c>
      <c r="I149" s="4" t="s">
        <v>13</v>
      </c>
      <c r="J149" s="3"/>
      <c r="K149" s="3" t="s">
        <v>121</v>
      </c>
      <c r="M149">
        <f>+COUNT(Table1[[#This Row],[Need]:[Overall]])</f>
        <v>0</v>
      </c>
    </row>
    <row r="150" spans="1:13" hidden="1" x14ac:dyDescent="0.2">
      <c r="A150" s="2" t="s">
        <v>30</v>
      </c>
      <c r="B150" s="2" t="s">
        <v>31</v>
      </c>
      <c r="C150" s="4">
        <v>5</v>
      </c>
      <c r="D150" s="4">
        <v>4</v>
      </c>
      <c r="E150" s="4">
        <v>5</v>
      </c>
      <c r="F150" s="4">
        <v>5</v>
      </c>
      <c r="G150" s="4">
        <v>5</v>
      </c>
      <c r="H150" s="4">
        <v>5</v>
      </c>
      <c r="I150" s="4">
        <v>5</v>
      </c>
      <c r="J150" s="4">
        <v>34</v>
      </c>
      <c r="K150" s="4">
        <v>97.142857142857096</v>
      </c>
      <c r="M150">
        <f>+COUNT(Table1[[#This Row],[Need]:[Overall]])</f>
        <v>7</v>
      </c>
    </row>
    <row r="151" spans="1:13" hidden="1" x14ac:dyDescent="0.2">
      <c r="A151" s="2" t="s">
        <v>30</v>
      </c>
      <c r="B151" s="2" t="s">
        <v>31</v>
      </c>
      <c r="C151" s="4">
        <v>5</v>
      </c>
      <c r="D151" s="4">
        <v>5</v>
      </c>
      <c r="E151" s="4">
        <v>5</v>
      </c>
      <c r="F151" s="4">
        <v>5</v>
      </c>
      <c r="G151" s="4">
        <v>5</v>
      </c>
      <c r="H151" s="4">
        <v>4</v>
      </c>
      <c r="I151" s="4">
        <v>5</v>
      </c>
      <c r="J151" s="4">
        <v>34</v>
      </c>
      <c r="K151" s="4">
        <v>97.142857142857096</v>
      </c>
      <c r="M151">
        <f>+COUNT(Table1[[#This Row],[Need]:[Overall]])</f>
        <v>7</v>
      </c>
    </row>
    <row r="152" spans="1:13" hidden="1" x14ac:dyDescent="0.2">
      <c r="A152" s="2" t="s">
        <v>32</v>
      </c>
      <c r="B152" s="2" t="s">
        <v>33</v>
      </c>
      <c r="C152" s="4">
        <v>3</v>
      </c>
      <c r="D152" s="4">
        <v>4</v>
      </c>
      <c r="E152" s="4">
        <v>3</v>
      </c>
      <c r="F152" s="4">
        <v>4</v>
      </c>
      <c r="G152" s="4">
        <v>4</v>
      </c>
      <c r="H152" s="4">
        <v>3</v>
      </c>
      <c r="I152" s="4">
        <v>3</v>
      </c>
      <c r="J152" s="4">
        <v>24</v>
      </c>
      <c r="K152" s="4">
        <v>68.571428571428598</v>
      </c>
      <c r="M152">
        <f>+COUNT(Table1[[#This Row],[Need]:[Overall]])</f>
        <v>7</v>
      </c>
    </row>
    <row r="153" spans="1:13" hidden="1" x14ac:dyDescent="0.2">
      <c r="A153" s="2" t="s">
        <v>32</v>
      </c>
      <c r="B153" s="2" t="s">
        <v>33</v>
      </c>
      <c r="C153" s="4">
        <v>4</v>
      </c>
      <c r="D153" s="4">
        <v>4</v>
      </c>
      <c r="E153" s="4">
        <v>5</v>
      </c>
      <c r="F153" s="4">
        <v>4</v>
      </c>
      <c r="G153" s="4">
        <v>4</v>
      </c>
      <c r="H153" s="4">
        <v>4</v>
      </c>
      <c r="I153" s="4">
        <v>4</v>
      </c>
      <c r="J153" s="4">
        <v>29</v>
      </c>
      <c r="K153" s="4">
        <v>82.857142857142904</v>
      </c>
      <c r="M153">
        <f>+COUNT(Table1[[#This Row],[Need]:[Overall]])</f>
        <v>7</v>
      </c>
    </row>
    <row r="154" spans="1:13" hidden="1" x14ac:dyDescent="0.2">
      <c r="A154" s="2" t="s">
        <v>32</v>
      </c>
      <c r="B154" s="2" t="s">
        <v>33</v>
      </c>
      <c r="C154" s="4">
        <v>4</v>
      </c>
      <c r="D154" s="4">
        <v>4</v>
      </c>
      <c r="E154" s="4">
        <v>4</v>
      </c>
      <c r="F154" s="4">
        <v>5</v>
      </c>
      <c r="G154" s="4">
        <v>5</v>
      </c>
      <c r="H154" s="4">
        <v>5</v>
      </c>
      <c r="I154" s="4">
        <v>5</v>
      </c>
      <c r="J154" s="4">
        <v>32</v>
      </c>
      <c r="K154" s="4">
        <v>91.428571428571402</v>
      </c>
      <c r="M154">
        <f>+COUNT(Table1[[#This Row],[Need]:[Overall]])</f>
        <v>7</v>
      </c>
    </row>
    <row r="155" spans="1:13" hidden="1" x14ac:dyDescent="0.2">
      <c r="A155" s="2" t="s">
        <v>32</v>
      </c>
      <c r="B155" s="2" t="s">
        <v>33</v>
      </c>
      <c r="C155" s="4">
        <v>4</v>
      </c>
      <c r="D155" s="4">
        <v>3</v>
      </c>
      <c r="E155" s="4">
        <v>4</v>
      </c>
      <c r="F155" s="4">
        <v>3</v>
      </c>
      <c r="G155" s="4">
        <v>4</v>
      </c>
      <c r="H155" s="4">
        <v>3</v>
      </c>
      <c r="I155" s="4">
        <v>3</v>
      </c>
      <c r="J155" s="4">
        <v>24</v>
      </c>
      <c r="K155" s="4">
        <v>68.571428571428598</v>
      </c>
      <c r="M155">
        <f>+COUNT(Table1[[#This Row],[Need]:[Overall]])</f>
        <v>7</v>
      </c>
    </row>
    <row r="156" spans="1:13" hidden="1" x14ac:dyDescent="0.2">
      <c r="A156" s="2" t="s">
        <v>32</v>
      </c>
      <c r="B156" s="2" t="s">
        <v>33</v>
      </c>
      <c r="C156" s="4">
        <v>5</v>
      </c>
      <c r="D156" s="4">
        <v>5</v>
      </c>
      <c r="E156" s="4">
        <v>4</v>
      </c>
      <c r="F156" s="4">
        <v>4</v>
      </c>
      <c r="G156" s="4">
        <v>5</v>
      </c>
      <c r="H156" s="4">
        <v>5</v>
      </c>
      <c r="I156" s="4">
        <v>5</v>
      </c>
      <c r="J156" s="4">
        <v>33</v>
      </c>
      <c r="K156" s="4">
        <v>94.285714285714306</v>
      </c>
      <c r="M156">
        <f>+COUNT(Table1[[#This Row],[Need]:[Overall]])</f>
        <v>7</v>
      </c>
    </row>
    <row r="157" spans="1:13" hidden="1" x14ac:dyDescent="0.2">
      <c r="A157" s="2" t="s">
        <v>32</v>
      </c>
      <c r="B157" s="2" t="s">
        <v>33</v>
      </c>
      <c r="C157" s="4">
        <v>4</v>
      </c>
      <c r="D157" s="4">
        <v>4</v>
      </c>
      <c r="E157" s="4">
        <v>4</v>
      </c>
      <c r="F157" s="4">
        <v>4</v>
      </c>
      <c r="G157" s="4">
        <v>5</v>
      </c>
      <c r="H157" s="4">
        <v>4</v>
      </c>
      <c r="I157" s="4">
        <v>4</v>
      </c>
      <c r="J157" s="4">
        <v>29</v>
      </c>
      <c r="K157" s="4">
        <v>82.857142857142904</v>
      </c>
      <c r="M157">
        <f>+COUNT(Table1[[#This Row],[Need]:[Overall]])</f>
        <v>7</v>
      </c>
    </row>
    <row r="158" spans="1:13" hidden="1" x14ac:dyDescent="0.2">
      <c r="A158" s="2" t="s">
        <v>32</v>
      </c>
      <c r="B158" s="2" t="s">
        <v>33</v>
      </c>
      <c r="C158" s="4">
        <v>3</v>
      </c>
      <c r="D158" s="4">
        <v>3</v>
      </c>
      <c r="E158" s="4">
        <v>3</v>
      </c>
      <c r="F158" s="4">
        <v>3</v>
      </c>
      <c r="G158" s="4">
        <v>4</v>
      </c>
      <c r="H158" s="4">
        <v>3</v>
      </c>
      <c r="I158" s="4">
        <v>3</v>
      </c>
      <c r="J158" s="4">
        <v>22</v>
      </c>
      <c r="K158" s="4">
        <v>62.857142857142897</v>
      </c>
      <c r="M158">
        <f>+COUNT(Table1[[#This Row],[Need]:[Overall]])</f>
        <v>7</v>
      </c>
    </row>
    <row r="159" spans="1:13" hidden="1" x14ac:dyDescent="0.2">
      <c r="A159" s="2" t="s">
        <v>32</v>
      </c>
      <c r="B159" s="2" t="s">
        <v>33</v>
      </c>
      <c r="C159" s="4">
        <v>4</v>
      </c>
      <c r="D159" s="4">
        <v>4</v>
      </c>
      <c r="E159" s="4">
        <v>4</v>
      </c>
      <c r="F159" s="4">
        <v>5</v>
      </c>
      <c r="G159" s="4">
        <v>5</v>
      </c>
      <c r="H159" s="4">
        <v>5</v>
      </c>
      <c r="I159" s="4">
        <v>4</v>
      </c>
      <c r="J159" s="4">
        <v>31</v>
      </c>
      <c r="K159" s="4">
        <v>88.571428571428598</v>
      </c>
      <c r="M159">
        <f>+COUNT(Table1[[#This Row],[Need]:[Overall]])</f>
        <v>7</v>
      </c>
    </row>
    <row r="160" spans="1:13" hidden="1" x14ac:dyDescent="0.2">
      <c r="A160" s="2" t="s">
        <v>32</v>
      </c>
      <c r="B160" s="2" t="s">
        <v>33</v>
      </c>
      <c r="C160" s="4">
        <v>5</v>
      </c>
      <c r="D160" s="4">
        <v>5</v>
      </c>
      <c r="E160" s="4">
        <v>4</v>
      </c>
      <c r="F160" s="4">
        <v>5</v>
      </c>
      <c r="G160" s="4">
        <v>5</v>
      </c>
      <c r="H160" s="4">
        <v>5</v>
      </c>
      <c r="I160" s="4">
        <v>5</v>
      </c>
      <c r="J160" s="4">
        <v>34</v>
      </c>
      <c r="K160" s="4">
        <v>97.142857142857096</v>
      </c>
      <c r="M160">
        <f>+COUNT(Table1[[#This Row],[Need]:[Overall]])</f>
        <v>7</v>
      </c>
    </row>
    <row r="161" spans="1:13" hidden="1" x14ac:dyDescent="0.2">
      <c r="A161" s="2" t="s">
        <v>32</v>
      </c>
      <c r="B161" s="2" t="s">
        <v>33</v>
      </c>
      <c r="C161" s="4">
        <v>5</v>
      </c>
      <c r="D161" s="4">
        <v>4</v>
      </c>
      <c r="E161" s="4">
        <v>4</v>
      </c>
      <c r="F161" s="4">
        <v>5</v>
      </c>
      <c r="G161" s="4">
        <v>5</v>
      </c>
      <c r="H161" s="4">
        <v>5</v>
      </c>
      <c r="I161" s="4">
        <v>5</v>
      </c>
      <c r="J161" s="4">
        <v>33</v>
      </c>
      <c r="K161" s="4">
        <v>94.285714285714306</v>
      </c>
      <c r="M161">
        <f>+COUNT(Table1[[#This Row],[Need]:[Overall]])</f>
        <v>7</v>
      </c>
    </row>
    <row r="162" spans="1:13" hidden="1" x14ac:dyDescent="0.2">
      <c r="A162" s="2" t="s">
        <v>32</v>
      </c>
      <c r="B162" s="2" t="s">
        <v>33</v>
      </c>
      <c r="C162" s="4">
        <v>5</v>
      </c>
      <c r="D162" s="4">
        <v>4</v>
      </c>
      <c r="E162" s="4">
        <v>5</v>
      </c>
      <c r="F162" s="4">
        <v>5</v>
      </c>
      <c r="G162" s="4">
        <v>5</v>
      </c>
      <c r="H162" s="4">
        <v>5</v>
      </c>
      <c r="I162" s="4">
        <v>5</v>
      </c>
      <c r="J162" s="4">
        <v>34</v>
      </c>
      <c r="K162" s="4">
        <v>97.142857142857096</v>
      </c>
      <c r="M162">
        <f>+COUNT(Table1[[#This Row],[Need]:[Overall]])</f>
        <v>7</v>
      </c>
    </row>
    <row r="163" spans="1:13" hidden="1" x14ac:dyDescent="0.2">
      <c r="A163" s="2" t="s">
        <v>32</v>
      </c>
      <c r="B163" s="2" t="s">
        <v>33</v>
      </c>
      <c r="C163" s="4">
        <v>5</v>
      </c>
      <c r="D163" s="4">
        <v>4</v>
      </c>
      <c r="E163" s="4">
        <v>4</v>
      </c>
      <c r="F163" s="4">
        <v>5</v>
      </c>
      <c r="G163" s="4">
        <v>4</v>
      </c>
      <c r="H163" s="4">
        <v>4</v>
      </c>
      <c r="I163" s="4">
        <v>5</v>
      </c>
      <c r="J163" s="4">
        <v>31</v>
      </c>
      <c r="K163" s="4">
        <v>88.571428571428598</v>
      </c>
      <c r="M163">
        <f>+COUNT(Table1[[#This Row],[Need]:[Overall]])</f>
        <v>7</v>
      </c>
    </row>
    <row r="164" spans="1:13" hidden="1" x14ac:dyDescent="0.2">
      <c r="A164" s="2" t="s">
        <v>32</v>
      </c>
      <c r="B164" s="2" t="s">
        <v>33</v>
      </c>
      <c r="C164" s="4" t="s">
        <v>13</v>
      </c>
      <c r="D164" s="4" t="s">
        <v>13</v>
      </c>
      <c r="E164" s="4" t="s">
        <v>13</v>
      </c>
      <c r="F164" s="4" t="s">
        <v>13</v>
      </c>
      <c r="G164" s="4" t="s">
        <v>13</v>
      </c>
      <c r="H164" s="4" t="s">
        <v>13</v>
      </c>
      <c r="I164" s="4" t="s">
        <v>13</v>
      </c>
      <c r="J164" s="3"/>
      <c r="K164" s="3" t="s">
        <v>121</v>
      </c>
      <c r="M164">
        <f>+COUNT(Table1[[#This Row],[Need]:[Overall]])</f>
        <v>0</v>
      </c>
    </row>
    <row r="165" spans="1:13" hidden="1" x14ac:dyDescent="0.2">
      <c r="A165" s="2" t="s">
        <v>32</v>
      </c>
      <c r="B165" s="2" t="s">
        <v>33</v>
      </c>
      <c r="C165" s="4">
        <v>5</v>
      </c>
      <c r="D165" s="4">
        <v>5</v>
      </c>
      <c r="E165" s="4">
        <v>5</v>
      </c>
      <c r="F165" s="4">
        <v>5</v>
      </c>
      <c r="G165" s="4">
        <v>4</v>
      </c>
      <c r="H165" s="4">
        <v>4</v>
      </c>
      <c r="I165" s="4">
        <v>5</v>
      </c>
      <c r="J165" s="4">
        <v>33</v>
      </c>
      <c r="K165" s="4">
        <v>94.285714285714306</v>
      </c>
      <c r="M165">
        <f>+COUNT(Table1[[#This Row],[Need]:[Overall]])</f>
        <v>7</v>
      </c>
    </row>
    <row r="166" spans="1:13" hidden="1" x14ac:dyDescent="0.2">
      <c r="A166" s="2" t="s">
        <v>32</v>
      </c>
      <c r="B166" s="2" t="s">
        <v>33</v>
      </c>
      <c r="C166" s="4">
        <v>5</v>
      </c>
      <c r="D166" s="4">
        <v>5</v>
      </c>
      <c r="E166" s="4">
        <v>5</v>
      </c>
      <c r="F166" s="4">
        <v>5</v>
      </c>
      <c r="G166" s="4">
        <v>4</v>
      </c>
      <c r="H166" s="4">
        <v>5</v>
      </c>
      <c r="I166" s="4">
        <v>5</v>
      </c>
      <c r="J166" s="4">
        <v>34</v>
      </c>
      <c r="K166" s="4">
        <v>97.142857142857096</v>
      </c>
      <c r="M166">
        <f>+COUNT(Table1[[#This Row],[Need]:[Overall]])</f>
        <v>7</v>
      </c>
    </row>
    <row r="167" spans="1:13" hidden="1" x14ac:dyDescent="0.2">
      <c r="A167" s="2" t="s">
        <v>34</v>
      </c>
      <c r="B167" s="2" t="s">
        <v>35</v>
      </c>
      <c r="C167" s="4">
        <v>4</v>
      </c>
      <c r="D167" s="4">
        <v>3</v>
      </c>
      <c r="E167" s="4">
        <v>3</v>
      </c>
      <c r="F167" s="4">
        <v>3</v>
      </c>
      <c r="G167" s="4">
        <v>3</v>
      </c>
      <c r="H167" s="4">
        <v>4</v>
      </c>
      <c r="I167" s="4">
        <v>3</v>
      </c>
      <c r="J167" s="4">
        <v>23</v>
      </c>
      <c r="K167" s="4">
        <v>65.714285714285694</v>
      </c>
      <c r="M167">
        <f>+COUNT(Table1[[#This Row],[Need]:[Overall]])</f>
        <v>7</v>
      </c>
    </row>
    <row r="168" spans="1:13" hidden="1" x14ac:dyDescent="0.2">
      <c r="A168" s="2" t="s">
        <v>34</v>
      </c>
      <c r="B168" s="2" t="s">
        <v>35</v>
      </c>
      <c r="C168" s="4">
        <v>3</v>
      </c>
      <c r="D168" s="4">
        <v>3</v>
      </c>
      <c r="E168" s="4">
        <v>3</v>
      </c>
      <c r="F168" s="4">
        <v>3</v>
      </c>
      <c r="G168" s="4">
        <v>4</v>
      </c>
      <c r="H168" s="4">
        <v>3</v>
      </c>
      <c r="I168" s="4">
        <v>3</v>
      </c>
      <c r="J168" s="4">
        <v>22</v>
      </c>
      <c r="K168" s="4">
        <v>62.857142857142897</v>
      </c>
      <c r="M168">
        <f>+COUNT(Table1[[#This Row],[Need]:[Overall]])</f>
        <v>7</v>
      </c>
    </row>
    <row r="169" spans="1:13" hidden="1" x14ac:dyDescent="0.2">
      <c r="A169" s="2" t="s">
        <v>34</v>
      </c>
      <c r="B169" s="2" t="s">
        <v>35</v>
      </c>
      <c r="C169" s="4">
        <v>4</v>
      </c>
      <c r="D169" s="4">
        <v>4</v>
      </c>
      <c r="E169" s="4">
        <v>3</v>
      </c>
      <c r="F169" s="4">
        <v>4</v>
      </c>
      <c r="G169" s="4">
        <v>5</v>
      </c>
      <c r="H169" s="4">
        <v>4</v>
      </c>
      <c r="I169" s="4">
        <v>4</v>
      </c>
      <c r="J169" s="4">
        <v>28</v>
      </c>
      <c r="K169" s="4">
        <v>80</v>
      </c>
      <c r="M169">
        <f>+COUNT(Table1[[#This Row],[Need]:[Overall]])</f>
        <v>7</v>
      </c>
    </row>
    <row r="170" spans="1:13" hidden="1" x14ac:dyDescent="0.2">
      <c r="A170" s="2" t="s">
        <v>34</v>
      </c>
      <c r="B170" s="2" t="s">
        <v>35</v>
      </c>
      <c r="C170" s="4">
        <v>3</v>
      </c>
      <c r="D170" s="4">
        <v>2</v>
      </c>
      <c r="E170" s="4">
        <v>2</v>
      </c>
      <c r="F170" s="4">
        <v>3</v>
      </c>
      <c r="G170" s="4">
        <v>3</v>
      </c>
      <c r="H170" s="4">
        <v>2</v>
      </c>
      <c r="I170" s="4">
        <v>3</v>
      </c>
      <c r="J170" s="4">
        <v>18</v>
      </c>
      <c r="K170" s="4">
        <v>51.428571428571402</v>
      </c>
      <c r="M170">
        <f>+COUNT(Table1[[#This Row],[Need]:[Overall]])</f>
        <v>7</v>
      </c>
    </row>
    <row r="171" spans="1:13" hidden="1" x14ac:dyDescent="0.2">
      <c r="A171" s="2" t="s">
        <v>34</v>
      </c>
      <c r="B171" s="2" t="s">
        <v>35</v>
      </c>
      <c r="C171" s="4">
        <v>5</v>
      </c>
      <c r="D171" s="4">
        <v>4</v>
      </c>
      <c r="E171" s="4">
        <v>5</v>
      </c>
      <c r="F171" s="4">
        <v>5</v>
      </c>
      <c r="G171" s="4">
        <v>3</v>
      </c>
      <c r="H171" s="4">
        <v>4</v>
      </c>
      <c r="I171" s="4">
        <v>5</v>
      </c>
      <c r="J171" s="4">
        <v>31</v>
      </c>
      <c r="K171" s="4">
        <v>88.571428571428598</v>
      </c>
      <c r="M171">
        <f>+COUNT(Table1[[#This Row],[Need]:[Overall]])</f>
        <v>7</v>
      </c>
    </row>
    <row r="172" spans="1:13" hidden="1" x14ac:dyDescent="0.2">
      <c r="A172" s="2" t="s">
        <v>34</v>
      </c>
      <c r="B172" s="2" t="s">
        <v>35</v>
      </c>
      <c r="C172" s="4">
        <v>3</v>
      </c>
      <c r="D172" s="4">
        <v>3</v>
      </c>
      <c r="E172" s="4">
        <v>3</v>
      </c>
      <c r="F172" s="4">
        <v>3</v>
      </c>
      <c r="G172" s="4">
        <v>3</v>
      </c>
      <c r="H172" s="4">
        <v>3</v>
      </c>
      <c r="I172" s="4">
        <v>3</v>
      </c>
      <c r="J172" s="4">
        <v>21</v>
      </c>
      <c r="K172" s="4">
        <v>60</v>
      </c>
      <c r="M172">
        <f>+COUNT(Table1[[#This Row],[Need]:[Overall]])</f>
        <v>7</v>
      </c>
    </row>
    <row r="173" spans="1:13" hidden="1" x14ac:dyDescent="0.2">
      <c r="A173" s="2" t="s">
        <v>34</v>
      </c>
      <c r="B173" s="2" t="s">
        <v>35</v>
      </c>
      <c r="C173" s="4">
        <v>3</v>
      </c>
      <c r="D173" s="4">
        <v>3</v>
      </c>
      <c r="E173" s="4">
        <v>3</v>
      </c>
      <c r="F173" s="4">
        <v>3</v>
      </c>
      <c r="G173" s="4">
        <v>3</v>
      </c>
      <c r="H173" s="4">
        <v>3</v>
      </c>
      <c r="I173" s="4">
        <v>3</v>
      </c>
      <c r="J173" s="4">
        <v>21</v>
      </c>
      <c r="K173" s="4">
        <v>60</v>
      </c>
      <c r="M173">
        <f>+COUNT(Table1[[#This Row],[Need]:[Overall]])</f>
        <v>7</v>
      </c>
    </row>
    <row r="174" spans="1:13" hidden="1" x14ac:dyDescent="0.2">
      <c r="A174" s="2" t="s">
        <v>34</v>
      </c>
      <c r="B174" s="2" t="s">
        <v>35</v>
      </c>
      <c r="C174" s="4">
        <v>3</v>
      </c>
      <c r="D174" s="4">
        <v>3</v>
      </c>
      <c r="E174" s="4">
        <v>4</v>
      </c>
      <c r="F174" s="4">
        <v>3</v>
      </c>
      <c r="G174" s="4">
        <v>3</v>
      </c>
      <c r="H174" s="4">
        <v>3</v>
      </c>
      <c r="I174" s="4">
        <v>3</v>
      </c>
      <c r="J174" s="4">
        <v>22</v>
      </c>
      <c r="K174" s="4">
        <v>62.857142857142897</v>
      </c>
      <c r="M174">
        <f>+COUNT(Table1[[#This Row],[Need]:[Overall]])</f>
        <v>7</v>
      </c>
    </row>
    <row r="175" spans="1:13" hidden="1" x14ac:dyDescent="0.2">
      <c r="A175" s="2" t="s">
        <v>34</v>
      </c>
      <c r="B175" s="2" t="s">
        <v>35</v>
      </c>
      <c r="C175" s="4">
        <v>5</v>
      </c>
      <c r="D175" s="4">
        <v>5</v>
      </c>
      <c r="E175" s="4">
        <v>5</v>
      </c>
      <c r="F175" s="4">
        <v>5</v>
      </c>
      <c r="G175" s="4">
        <v>4</v>
      </c>
      <c r="H175" s="4">
        <v>5</v>
      </c>
      <c r="I175" s="4">
        <v>5</v>
      </c>
      <c r="J175" s="4">
        <v>34</v>
      </c>
      <c r="K175" s="4">
        <v>97.142857142857096</v>
      </c>
      <c r="M175">
        <f>+COUNT(Table1[[#This Row],[Need]:[Overall]])</f>
        <v>7</v>
      </c>
    </row>
    <row r="176" spans="1:13" hidden="1" x14ac:dyDescent="0.2">
      <c r="A176" s="2" t="s">
        <v>34</v>
      </c>
      <c r="B176" s="2" t="s">
        <v>35</v>
      </c>
      <c r="C176" s="4">
        <v>5</v>
      </c>
      <c r="D176" s="4">
        <v>4</v>
      </c>
      <c r="E176" s="4">
        <v>4</v>
      </c>
      <c r="F176" s="4">
        <v>4</v>
      </c>
      <c r="G176" s="4">
        <v>2</v>
      </c>
      <c r="H176" s="4">
        <v>4</v>
      </c>
      <c r="I176" s="4">
        <v>4</v>
      </c>
      <c r="J176" s="4">
        <v>27</v>
      </c>
      <c r="K176" s="4">
        <v>77.142857142857196</v>
      </c>
      <c r="M176">
        <f>+COUNT(Table1[[#This Row],[Need]:[Overall]])</f>
        <v>7</v>
      </c>
    </row>
    <row r="177" spans="1:13" hidden="1" x14ac:dyDescent="0.2">
      <c r="A177" s="2" t="s">
        <v>34</v>
      </c>
      <c r="B177" s="2" t="s">
        <v>35</v>
      </c>
      <c r="C177" s="4">
        <v>5</v>
      </c>
      <c r="D177" s="4">
        <v>4</v>
      </c>
      <c r="E177" s="4">
        <v>5</v>
      </c>
      <c r="F177" s="4">
        <v>5</v>
      </c>
      <c r="G177" s="4">
        <v>4</v>
      </c>
      <c r="H177" s="4">
        <v>4</v>
      </c>
      <c r="I177" s="4">
        <v>5</v>
      </c>
      <c r="J177" s="4">
        <v>32</v>
      </c>
      <c r="K177" s="4">
        <v>91.428571428571402</v>
      </c>
      <c r="M177">
        <f>+COUNT(Table1[[#This Row],[Need]:[Overall]])</f>
        <v>7</v>
      </c>
    </row>
    <row r="178" spans="1:13" hidden="1" x14ac:dyDescent="0.2">
      <c r="A178" s="2" t="s">
        <v>34</v>
      </c>
      <c r="B178" s="2" t="s">
        <v>35</v>
      </c>
      <c r="C178" s="4">
        <v>5</v>
      </c>
      <c r="D178" s="4">
        <v>4</v>
      </c>
      <c r="E178" s="4">
        <v>4</v>
      </c>
      <c r="F178" s="4">
        <v>5</v>
      </c>
      <c r="G178" s="4">
        <v>4</v>
      </c>
      <c r="H178" s="4">
        <v>5</v>
      </c>
      <c r="I178" s="4">
        <v>5</v>
      </c>
      <c r="J178" s="4">
        <v>32</v>
      </c>
      <c r="K178" s="4">
        <v>91.428571428571402</v>
      </c>
      <c r="M178">
        <f>+COUNT(Table1[[#This Row],[Need]:[Overall]])</f>
        <v>7</v>
      </c>
    </row>
    <row r="179" spans="1:13" hidden="1" x14ac:dyDescent="0.2">
      <c r="A179" s="2" t="s">
        <v>34</v>
      </c>
      <c r="B179" s="2" t="s">
        <v>35</v>
      </c>
      <c r="C179" s="4" t="s">
        <v>13</v>
      </c>
      <c r="D179" s="4" t="s">
        <v>13</v>
      </c>
      <c r="E179" s="4" t="s">
        <v>13</v>
      </c>
      <c r="F179" s="4" t="s">
        <v>13</v>
      </c>
      <c r="G179" s="4" t="s">
        <v>13</v>
      </c>
      <c r="H179" s="4" t="s">
        <v>13</v>
      </c>
      <c r="I179" s="4" t="s">
        <v>13</v>
      </c>
      <c r="J179" s="3"/>
      <c r="K179" s="3" t="s">
        <v>121</v>
      </c>
      <c r="M179">
        <f>+COUNT(Table1[[#This Row],[Need]:[Overall]])</f>
        <v>0</v>
      </c>
    </row>
    <row r="180" spans="1:13" hidden="1" x14ac:dyDescent="0.2">
      <c r="A180" s="2" t="s">
        <v>34</v>
      </c>
      <c r="B180" s="2" t="s">
        <v>35</v>
      </c>
      <c r="C180" s="4">
        <v>5</v>
      </c>
      <c r="D180" s="4">
        <v>4</v>
      </c>
      <c r="E180" s="4">
        <v>4</v>
      </c>
      <c r="F180" s="4">
        <v>4</v>
      </c>
      <c r="G180" s="4">
        <v>4</v>
      </c>
      <c r="H180" s="4">
        <v>4</v>
      </c>
      <c r="I180" s="4">
        <v>5</v>
      </c>
      <c r="J180" s="4">
        <v>30</v>
      </c>
      <c r="K180" s="4">
        <v>85.714285714285694</v>
      </c>
      <c r="M180">
        <f>+COUNT(Table1[[#This Row],[Need]:[Overall]])</f>
        <v>7</v>
      </c>
    </row>
    <row r="181" spans="1:13" hidden="1" x14ac:dyDescent="0.2">
      <c r="A181" s="2" t="s">
        <v>34</v>
      </c>
      <c r="B181" s="2" t="s">
        <v>35</v>
      </c>
      <c r="C181" s="4">
        <v>5</v>
      </c>
      <c r="D181" s="4">
        <v>5</v>
      </c>
      <c r="E181" s="4">
        <v>3</v>
      </c>
      <c r="F181" s="4">
        <v>4</v>
      </c>
      <c r="G181" s="4">
        <v>3</v>
      </c>
      <c r="H181" s="4">
        <v>4</v>
      </c>
      <c r="I181" s="4">
        <v>3</v>
      </c>
      <c r="J181" s="4">
        <v>27</v>
      </c>
      <c r="K181" s="4">
        <v>77.142857142857196</v>
      </c>
      <c r="M181">
        <f>+COUNT(Table1[[#This Row],[Need]:[Overall]])</f>
        <v>7</v>
      </c>
    </row>
    <row r="182" spans="1:13" hidden="1" x14ac:dyDescent="0.2">
      <c r="A182" s="2" t="s">
        <v>36</v>
      </c>
      <c r="B182" s="2" t="s">
        <v>37</v>
      </c>
      <c r="C182" s="4">
        <v>5</v>
      </c>
      <c r="D182" s="4">
        <v>4</v>
      </c>
      <c r="E182" s="4">
        <v>4</v>
      </c>
      <c r="F182" s="4">
        <v>4</v>
      </c>
      <c r="G182" s="4">
        <v>5</v>
      </c>
      <c r="H182" s="4">
        <v>5</v>
      </c>
      <c r="I182" s="4">
        <v>4</v>
      </c>
      <c r="J182" s="4">
        <v>31</v>
      </c>
      <c r="K182" s="4">
        <v>88.571428571428598</v>
      </c>
      <c r="M182">
        <f>+COUNT(Table1[[#This Row],[Need]:[Overall]])</f>
        <v>7</v>
      </c>
    </row>
    <row r="183" spans="1:13" hidden="1" x14ac:dyDescent="0.2">
      <c r="A183" s="2" t="s">
        <v>36</v>
      </c>
      <c r="B183" s="2" t="s">
        <v>37</v>
      </c>
      <c r="C183" s="4">
        <v>5</v>
      </c>
      <c r="D183" s="4">
        <v>3</v>
      </c>
      <c r="E183" s="4">
        <v>3</v>
      </c>
      <c r="F183" s="4">
        <v>3</v>
      </c>
      <c r="G183" s="4">
        <v>5</v>
      </c>
      <c r="H183" s="4">
        <v>4</v>
      </c>
      <c r="I183" s="4">
        <v>3</v>
      </c>
      <c r="J183" s="4">
        <v>26</v>
      </c>
      <c r="K183" s="4">
        <v>74.285714285714306</v>
      </c>
      <c r="M183">
        <f>+COUNT(Table1[[#This Row],[Need]:[Overall]])</f>
        <v>7</v>
      </c>
    </row>
    <row r="184" spans="1:13" hidden="1" x14ac:dyDescent="0.2">
      <c r="A184" s="2" t="s">
        <v>36</v>
      </c>
      <c r="B184" s="2" t="s">
        <v>37</v>
      </c>
      <c r="C184" s="4">
        <v>5</v>
      </c>
      <c r="D184" s="4">
        <v>5</v>
      </c>
      <c r="E184" s="4">
        <v>4</v>
      </c>
      <c r="F184" s="4">
        <v>4</v>
      </c>
      <c r="G184" s="4">
        <v>3</v>
      </c>
      <c r="H184" s="4">
        <v>4</v>
      </c>
      <c r="I184" s="4">
        <v>5</v>
      </c>
      <c r="J184" s="4">
        <v>30</v>
      </c>
      <c r="K184" s="4">
        <v>85.714285714285694</v>
      </c>
      <c r="M184">
        <f>+COUNT(Table1[[#This Row],[Need]:[Overall]])</f>
        <v>7</v>
      </c>
    </row>
    <row r="185" spans="1:13" hidden="1" x14ac:dyDescent="0.2">
      <c r="A185" s="2" t="s">
        <v>36</v>
      </c>
      <c r="B185" s="2" t="s">
        <v>37</v>
      </c>
      <c r="C185" s="4">
        <v>4</v>
      </c>
      <c r="D185" s="4">
        <v>4</v>
      </c>
      <c r="E185" s="4">
        <v>4</v>
      </c>
      <c r="F185" s="4">
        <v>3</v>
      </c>
      <c r="G185" s="4">
        <v>3</v>
      </c>
      <c r="H185" s="4">
        <v>3</v>
      </c>
      <c r="I185" s="4">
        <v>3</v>
      </c>
      <c r="J185" s="4">
        <v>24</v>
      </c>
      <c r="K185" s="4">
        <v>68.571428571428598</v>
      </c>
      <c r="M185">
        <f>+COUNT(Table1[[#This Row],[Need]:[Overall]])</f>
        <v>7</v>
      </c>
    </row>
    <row r="186" spans="1:13" hidden="1" x14ac:dyDescent="0.2">
      <c r="A186" s="2" t="s">
        <v>36</v>
      </c>
      <c r="B186" s="2" t="s">
        <v>37</v>
      </c>
      <c r="C186" s="4">
        <v>4</v>
      </c>
      <c r="D186" s="4">
        <v>4</v>
      </c>
      <c r="E186" s="4">
        <v>3</v>
      </c>
      <c r="F186" s="4">
        <v>4</v>
      </c>
      <c r="G186" s="4">
        <v>4</v>
      </c>
      <c r="H186" s="4">
        <v>5</v>
      </c>
      <c r="I186" s="4">
        <v>3</v>
      </c>
      <c r="J186" s="4">
        <v>27</v>
      </c>
      <c r="K186" s="4">
        <v>77.142857142857196</v>
      </c>
      <c r="M186">
        <f>+COUNT(Table1[[#This Row],[Need]:[Overall]])</f>
        <v>7</v>
      </c>
    </row>
    <row r="187" spans="1:13" hidden="1" x14ac:dyDescent="0.2">
      <c r="A187" s="2" t="s">
        <v>36</v>
      </c>
      <c r="B187" s="2" t="s">
        <v>37</v>
      </c>
      <c r="C187" s="4">
        <v>4</v>
      </c>
      <c r="D187" s="4">
        <v>4</v>
      </c>
      <c r="E187" s="4">
        <v>4</v>
      </c>
      <c r="F187" s="4">
        <v>3</v>
      </c>
      <c r="G187" s="4">
        <v>3</v>
      </c>
      <c r="H187" s="4">
        <v>4</v>
      </c>
      <c r="I187" s="4">
        <v>4</v>
      </c>
      <c r="J187" s="4">
        <v>26</v>
      </c>
      <c r="K187" s="4">
        <v>74.285714285714306</v>
      </c>
      <c r="M187">
        <f>+COUNT(Table1[[#This Row],[Need]:[Overall]])</f>
        <v>7</v>
      </c>
    </row>
    <row r="188" spans="1:13" hidden="1" x14ac:dyDescent="0.2">
      <c r="A188" s="2" t="s">
        <v>36</v>
      </c>
      <c r="B188" s="2" t="s">
        <v>37</v>
      </c>
      <c r="C188" s="4">
        <v>5</v>
      </c>
      <c r="D188" s="4">
        <v>5</v>
      </c>
      <c r="E188" s="4">
        <v>4</v>
      </c>
      <c r="F188" s="4">
        <v>4</v>
      </c>
      <c r="G188" s="4">
        <v>5</v>
      </c>
      <c r="H188" s="4">
        <v>5</v>
      </c>
      <c r="I188" s="4">
        <v>5</v>
      </c>
      <c r="J188" s="4">
        <v>33</v>
      </c>
      <c r="K188" s="4">
        <v>94.285714285714306</v>
      </c>
      <c r="M188">
        <f>+COUNT(Table1[[#This Row],[Need]:[Overall]])</f>
        <v>7</v>
      </c>
    </row>
    <row r="189" spans="1:13" hidden="1" x14ac:dyDescent="0.2">
      <c r="A189" s="2" t="s">
        <v>36</v>
      </c>
      <c r="B189" s="2" t="s">
        <v>37</v>
      </c>
      <c r="C189" s="4">
        <v>5</v>
      </c>
      <c r="D189" s="4">
        <v>4</v>
      </c>
      <c r="E189" s="4">
        <v>5</v>
      </c>
      <c r="F189" s="4">
        <v>5</v>
      </c>
      <c r="G189" s="4">
        <v>5</v>
      </c>
      <c r="H189" s="4">
        <v>5</v>
      </c>
      <c r="I189" s="4">
        <v>5</v>
      </c>
      <c r="J189" s="4">
        <v>34</v>
      </c>
      <c r="K189" s="4">
        <v>97.142857142857096</v>
      </c>
      <c r="M189">
        <f>+COUNT(Table1[[#This Row],[Need]:[Overall]])</f>
        <v>7</v>
      </c>
    </row>
    <row r="190" spans="1:13" hidden="1" x14ac:dyDescent="0.2">
      <c r="A190" s="2" t="s">
        <v>36</v>
      </c>
      <c r="B190" s="2" t="s">
        <v>37</v>
      </c>
      <c r="C190" s="4">
        <v>5</v>
      </c>
      <c r="D190" s="4">
        <v>4</v>
      </c>
      <c r="E190" s="4">
        <v>3</v>
      </c>
      <c r="F190" s="4">
        <v>3</v>
      </c>
      <c r="G190" s="4">
        <v>5</v>
      </c>
      <c r="H190" s="4">
        <v>1</v>
      </c>
      <c r="I190" s="4">
        <v>3</v>
      </c>
      <c r="J190" s="4">
        <v>24</v>
      </c>
      <c r="K190" s="4">
        <v>68.571428571428598</v>
      </c>
      <c r="M190">
        <f>+COUNT(Table1[[#This Row],[Need]:[Overall]])</f>
        <v>7</v>
      </c>
    </row>
    <row r="191" spans="1:13" hidden="1" x14ac:dyDescent="0.2">
      <c r="A191" s="2" t="s">
        <v>36</v>
      </c>
      <c r="B191" s="2" t="s">
        <v>37</v>
      </c>
      <c r="C191" s="4">
        <v>5</v>
      </c>
      <c r="D191" s="4">
        <v>4</v>
      </c>
      <c r="E191" s="4">
        <v>2</v>
      </c>
      <c r="F191" s="4">
        <v>3</v>
      </c>
      <c r="G191" s="4">
        <v>4</v>
      </c>
      <c r="H191" s="4">
        <v>3</v>
      </c>
      <c r="I191" s="4">
        <v>4</v>
      </c>
      <c r="J191" s="4">
        <v>25</v>
      </c>
      <c r="K191" s="4">
        <v>71.428571428571402</v>
      </c>
      <c r="M191">
        <f>+COUNT(Table1[[#This Row],[Need]:[Overall]])</f>
        <v>7</v>
      </c>
    </row>
    <row r="192" spans="1:13" hidden="1" x14ac:dyDescent="0.2">
      <c r="A192" s="2" t="s">
        <v>36</v>
      </c>
      <c r="B192" s="2" t="s">
        <v>37</v>
      </c>
      <c r="C192" s="4">
        <v>5</v>
      </c>
      <c r="D192" s="4">
        <v>5</v>
      </c>
      <c r="E192" s="4">
        <v>5</v>
      </c>
      <c r="F192" s="4">
        <v>5</v>
      </c>
      <c r="G192" s="4">
        <v>5</v>
      </c>
      <c r="H192" s="4">
        <v>5</v>
      </c>
      <c r="I192" s="4">
        <v>5</v>
      </c>
      <c r="J192" s="4">
        <v>35</v>
      </c>
      <c r="K192" s="4">
        <v>100</v>
      </c>
      <c r="M192">
        <f>+COUNT(Table1[[#This Row],[Need]:[Overall]])</f>
        <v>7</v>
      </c>
    </row>
    <row r="193" spans="1:13" hidden="1" x14ac:dyDescent="0.2">
      <c r="A193" s="2" t="s">
        <v>36</v>
      </c>
      <c r="B193" s="2" t="s">
        <v>37</v>
      </c>
      <c r="C193" s="4">
        <v>5</v>
      </c>
      <c r="D193" s="4">
        <v>4</v>
      </c>
      <c r="E193" s="4">
        <v>3</v>
      </c>
      <c r="F193" s="4">
        <v>4</v>
      </c>
      <c r="G193" s="4">
        <v>4</v>
      </c>
      <c r="H193" s="4">
        <v>4</v>
      </c>
      <c r="I193" s="4">
        <v>4</v>
      </c>
      <c r="J193" s="4">
        <v>28</v>
      </c>
      <c r="K193" s="4">
        <v>80</v>
      </c>
      <c r="M193">
        <f>+COUNT(Table1[[#This Row],[Need]:[Overall]])</f>
        <v>7</v>
      </c>
    </row>
    <row r="194" spans="1:13" hidden="1" x14ac:dyDescent="0.2">
      <c r="A194" s="2" t="s">
        <v>36</v>
      </c>
      <c r="B194" s="2" t="s">
        <v>37</v>
      </c>
      <c r="C194" s="4" t="s">
        <v>13</v>
      </c>
      <c r="D194" s="4" t="s">
        <v>13</v>
      </c>
      <c r="E194" s="4" t="s">
        <v>13</v>
      </c>
      <c r="F194" s="4" t="s">
        <v>13</v>
      </c>
      <c r="G194" s="4" t="s">
        <v>13</v>
      </c>
      <c r="H194" s="4" t="s">
        <v>13</v>
      </c>
      <c r="I194" s="4" t="s">
        <v>13</v>
      </c>
      <c r="J194" s="3"/>
      <c r="K194" s="3" t="s">
        <v>121</v>
      </c>
      <c r="M194">
        <f>+COUNT(Table1[[#This Row],[Need]:[Overall]])</f>
        <v>0</v>
      </c>
    </row>
    <row r="195" spans="1:13" hidden="1" x14ac:dyDescent="0.2">
      <c r="A195" s="2" t="s">
        <v>36</v>
      </c>
      <c r="B195" s="2" t="s">
        <v>37</v>
      </c>
      <c r="C195" s="4">
        <v>4</v>
      </c>
      <c r="D195" s="4">
        <v>4</v>
      </c>
      <c r="E195" s="4">
        <v>4</v>
      </c>
      <c r="F195" s="4">
        <v>4</v>
      </c>
      <c r="G195" s="4">
        <v>5</v>
      </c>
      <c r="H195" s="4">
        <v>4</v>
      </c>
      <c r="I195" s="4">
        <v>4</v>
      </c>
      <c r="J195" s="4">
        <v>29</v>
      </c>
      <c r="K195" s="4">
        <v>82.857142857142904</v>
      </c>
      <c r="M195">
        <f>+COUNT(Table1[[#This Row],[Need]:[Overall]])</f>
        <v>7</v>
      </c>
    </row>
    <row r="196" spans="1:13" hidden="1" x14ac:dyDescent="0.2">
      <c r="A196" s="2" t="s">
        <v>36</v>
      </c>
      <c r="B196" s="2" t="s">
        <v>37</v>
      </c>
      <c r="C196" s="4">
        <v>5</v>
      </c>
      <c r="D196" s="4">
        <v>5</v>
      </c>
      <c r="E196" s="4">
        <v>5</v>
      </c>
      <c r="F196" s="4">
        <v>4</v>
      </c>
      <c r="G196" s="4">
        <v>5</v>
      </c>
      <c r="H196" s="4">
        <v>5</v>
      </c>
      <c r="I196" s="4">
        <v>5</v>
      </c>
      <c r="J196" s="4">
        <v>34</v>
      </c>
      <c r="K196" s="4">
        <v>97.142857142857096</v>
      </c>
      <c r="M196">
        <f>+COUNT(Table1[[#This Row],[Need]:[Overall]])</f>
        <v>7</v>
      </c>
    </row>
    <row r="197" spans="1:13" hidden="1" x14ac:dyDescent="0.2">
      <c r="A197" s="2" t="s">
        <v>38</v>
      </c>
      <c r="B197" s="2" t="s">
        <v>39</v>
      </c>
      <c r="C197" s="4">
        <v>3</v>
      </c>
      <c r="D197" s="4">
        <v>3</v>
      </c>
      <c r="E197" s="4">
        <v>4</v>
      </c>
      <c r="F197" s="4">
        <v>3</v>
      </c>
      <c r="G197" s="4">
        <v>4</v>
      </c>
      <c r="H197" s="4">
        <v>4</v>
      </c>
      <c r="I197" s="4">
        <v>3</v>
      </c>
      <c r="J197" s="4">
        <v>24</v>
      </c>
      <c r="K197" s="4">
        <v>68.571428571428598</v>
      </c>
      <c r="M197">
        <f>+COUNT(Table1[[#This Row],[Need]:[Overall]])</f>
        <v>7</v>
      </c>
    </row>
    <row r="198" spans="1:13" hidden="1" x14ac:dyDescent="0.2">
      <c r="A198" s="2" t="s">
        <v>38</v>
      </c>
      <c r="B198" s="2" t="s">
        <v>39</v>
      </c>
      <c r="C198" s="4">
        <v>4</v>
      </c>
      <c r="D198" s="4">
        <v>3</v>
      </c>
      <c r="E198" s="4">
        <v>3</v>
      </c>
      <c r="F198" s="4">
        <v>3</v>
      </c>
      <c r="G198" s="4">
        <v>4</v>
      </c>
      <c r="H198" s="4">
        <v>3</v>
      </c>
      <c r="I198" s="4">
        <v>3</v>
      </c>
      <c r="J198" s="4">
        <v>23</v>
      </c>
      <c r="K198" s="4">
        <v>65.714285714285694</v>
      </c>
      <c r="M198">
        <f>+COUNT(Table1[[#This Row],[Need]:[Overall]])</f>
        <v>7</v>
      </c>
    </row>
    <row r="199" spans="1:13" hidden="1" x14ac:dyDescent="0.2">
      <c r="A199" s="2" t="s">
        <v>38</v>
      </c>
      <c r="B199" s="2" t="s">
        <v>39</v>
      </c>
      <c r="C199" s="4">
        <v>5</v>
      </c>
      <c r="D199" s="4">
        <v>5</v>
      </c>
      <c r="E199" s="4">
        <v>5</v>
      </c>
      <c r="F199" s="4">
        <v>4</v>
      </c>
      <c r="G199" s="4">
        <v>5</v>
      </c>
      <c r="H199" s="4">
        <v>5</v>
      </c>
      <c r="I199" s="4">
        <v>5</v>
      </c>
      <c r="J199" s="4">
        <v>34</v>
      </c>
      <c r="K199" s="4">
        <v>97.142857142857096</v>
      </c>
      <c r="M199">
        <f>+COUNT(Table1[[#This Row],[Need]:[Overall]])</f>
        <v>7</v>
      </c>
    </row>
    <row r="200" spans="1:13" hidden="1" x14ac:dyDescent="0.2">
      <c r="A200" s="2" t="s">
        <v>38</v>
      </c>
      <c r="B200" s="2" t="s">
        <v>39</v>
      </c>
      <c r="C200" s="4">
        <v>3</v>
      </c>
      <c r="D200" s="4">
        <v>2</v>
      </c>
      <c r="E200" s="4">
        <v>2</v>
      </c>
      <c r="F200" s="4">
        <v>2</v>
      </c>
      <c r="G200" s="4">
        <v>4</v>
      </c>
      <c r="H200" s="4">
        <v>2</v>
      </c>
      <c r="I200" s="4">
        <v>3</v>
      </c>
      <c r="J200" s="4">
        <v>18</v>
      </c>
      <c r="K200" s="4">
        <v>51.428571428571402</v>
      </c>
      <c r="M200">
        <f>+COUNT(Table1[[#This Row],[Need]:[Overall]])</f>
        <v>7</v>
      </c>
    </row>
    <row r="201" spans="1:13" hidden="1" x14ac:dyDescent="0.2">
      <c r="A201" s="2" t="s">
        <v>38</v>
      </c>
      <c r="B201" s="2" t="s">
        <v>39</v>
      </c>
      <c r="C201" s="4">
        <v>5</v>
      </c>
      <c r="D201" s="4">
        <v>5</v>
      </c>
      <c r="E201" s="4">
        <v>5</v>
      </c>
      <c r="F201" s="4">
        <v>3</v>
      </c>
      <c r="G201" s="4">
        <v>5</v>
      </c>
      <c r="H201" s="4">
        <v>5</v>
      </c>
      <c r="I201" s="4">
        <v>5</v>
      </c>
      <c r="J201" s="4">
        <v>33</v>
      </c>
      <c r="K201" s="4">
        <v>94.285714285714306</v>
      </c>
      <c r="M201">
        <f>+COUNT(Table1[[#This Row],[Need]:[Overall]])</f>
        <v>7</v>
      </c>
    </row>
    <row r="202" spans="1:13" hidden="1" x14ac:dyDescent="0.2">
      <c r="A202" s="2" t="s">
        <v>38</v>
      </c>
      <c r="B202" s="2" t="s">
        <v>39</v>
      </c>
      <c r="C202" s="4">
        <v>5</v>
      </c>
      <c r="D202" s="4">
        <v>5</v>
      </c>
      <c r="E202" s="4">
        <v>5</v>
      </c>
      <c r="F202" s="4">
        <v>4</v>
      </c>
      <c r="G202" s="4">
        <v>5</v>
      </c>
      <c r="H202" s="4">
        <v>5</v>
      </c>
      <c r="I202" s="4">
        <v>5</v>
      </c>
      <c r="J202" s="4">
        <v>34</v>
      </c>
      <c r="K202" s="4">
        <v>97.142857142857096</v>
      </c>
      <c r="M202">
        <f>+COUNT(Table1[[#This Row],[Need]:[Overall]])</f>
        <v>7</v>
      </c>
    </row>
    <row r="203" spans="1:13" hidden="1" x14ac:dyDescent="0.2">
      <c r="A203" s="2" t="s">
        <v>38</v>
      </c>
      <c r="B203" s="2" t="s">
        <v>39</v>
      </c>
      <c r="C203" s="4">
        <v>5</v>
      </c>
      <c r="D203" s="4">
        <v>5</v>
      </c>
      <c r="E203" s="4">
        <v>4</v>
      </c>
      <c r="F203" s="4">
        <v>5</v>
      </c>
      <c r="G203" s="4">
        <v>5</v>
      </c>
      <c r="H203" s="4">
        <v>5</v>
      </c>
      <c r="I203" s="4">
        <v>5</v>
      </c>
      <c r="J203" s="4">
        <v>34</v>
      </c>
      <c r="K203" s="4">
        <v>97.142857142857096</v>
      </c>
      <c r="M203">
        <f>+COUNT(Table1[[#This Row],[Need]:[Overall]])</f>
        <v>7</v>
      </c>
    </row>
    <row r="204" spans="1:13" hidden="1" x14ac:dyDescent="0.2">
      <c r="A204" s="2" t="s">
        <v>38</v>
      </c>
      <c r="B204" s="2" t="s">
        <v>39</v>
      </c>
      <c r="C204" s="4">
        <v>5</v>
      </c>
      <c r="D204" s="4">
        <v>4</v>
      </c>
      <c r="E204" s="4">
        <v>3</v>
      </c>
      <c r="F204" s="4">
        <v>4</v>
      </c>
      <c r="G204" s="4">
        <v>5</v>
      </c>
      <c r="H204" s="4">
        <v>4</v>
      </c>
      <c r="I204" s="4">
        <v>5</v>
      </c>
      <c r="J204" s="4">
        <v>30</v>
      </c>
      <c r="K204" s="4">
        <v>85.714285714285694</v>
      </c>
      <c r="M204">
        <f>+COUNT(Table1[[#This Row],[Need]:[Overall]])</f>
        <v>7</v>
      </c>
    </row>
    <row r="205" spans="1:13" hidden="1" x14ac:dyDescent="0.2">
      <c r="A205" s="2" t="s">
        <v>38</v>
      </c>
      <c r="B205" s="2" t="s">
        <v>39</v>
      </c>
      <c r="C205" s="4">
        <v>5</v>
      </c>
      <c r="D205" s="4">
        <v>5</v>
      </c>
      <c r="E205" s="4">
        <v>5</v>
      </c>
      <c r="F205" s="4">
        <v>5</v>
      </c>
      <c r="G205" s="4">
        <v>5</v>
      </c>
      <c r="H205" s="4">
        <v>5</v>
      </c>
      <c r="I205" s="4">
        <v>5</v>
      </c>
      <c r="J205" s="4">
        <v>35</v>
      </c>
      <c r="K205" s="4">
        <v>100</v>
      </c>
      <c r="M205">
        <f>+COUNT(Table1[[#This Row],[Need]:[Overall]])</f>
        <v>7</v>
      </c>
    </row>
    <row r="206" spans="1:13" hidden="1" x14ac:dyDescent="0.2">
      <c r="A206" s="2" t="s">
        <v>38</v>
      </c>
      <c r="B206" s="2" t="s">
        <v>39</v>
      </c>
      <c r="C206" s="4">
        <v>5</v>
      </c>
      <c r="D206" s="4">
        <v>5</v>
      </c>
      <c r="E206" s="4">
        <v>4</v>
      </c>
      <c r="F206" s="4">
        <v>4</v>
      </c>
      <c r="G206" s="4">
        <v>5</v>
      </c>
      <c r="H206" s="4">
        <v>5</v>
      </c>
      <c r="I206" s="4">
        <v>5</v>
      </c>
      <c r="J206" s="4">
        <v>33</v>
      </c>
      <c r="K206" s="4">
        <v>94.285714285714306</v>
      </c>
      <c r="M206">
        <f>+COUNT(Table1[[#This Row],[Need]:[Overall]])</f>
        <v>7</v>
      </c>
    </row>
    <row r="207" spans="1:13" hidden="1" x14ac:dyDescent="0.2">
      <c r="A207" s="2" t="s">
        <v>38</v>
      </c>
      <c r="B207" s="2" t="s">
        <v>39</v>
      </c>
      <c r="C207" s="4">
        <v>5</v>
      </c>
      <c r="D207" s="4">
        <v>5</v>
      </c>
      <c r="E207" s="4">
        <v>5</v>
      </c>
      <c r="F207" s="4">
        <v>4</v>
      </c>
      <c r="G207" s="4">
        <v>5</v>
      </c>
      <c r="H207" s="4">
        <v>4</v>
      </c>
      <c r="I207" s="4">
        <v>5</v>
      </c>
      <c r="J207" s="4">
        <v>33</v>
      </c>
      <c r="K207" s="4">
        <v>94.285714285714306</v>
      </c>
      <c r="M207">
        <f>+COUNT(Table1[[#This Row],[Need]:[Overall]])</f>
        <v>7</v>
      </c>
    </row>
    <row r="208" spans="1:13" hidden="1" x14ac:dyDescent="0.2">
      <c r="A208" s="2" t="s">
        <v>38</v>
      </c>
      <c r="B208" s="2" t="s">
        <v>39</v>
      </c>
      <c r="C208" s="4">
        <v>5</v>
      </c>
      <c r="D208" s="4">
        <v>5</v>
      </c>
      <c r="E208" s="4">
        <v>4</v>
      </c>
      <c r="F208" s="4">
        <v>5</v>
      </c>
      <c r="G208" s="4">
        <v>5</v>
      </c>
      <c r="H208" s="4">
        <v>5</v>
      </c>
      <c r="I208" s="4">
        <v>5</v>
      </c>
      <c r="J208" s="4">
        <v>34</v>
      </c>
      <c r="K208" s="4">
        <v>97.142857142857096</v>
      </c>
      <c r="M208">
        <f>+COUNT(Table1[[#This Row],[Need]:[Overall]])</f>
        <v>7</v>
      </c>
    </row>
    <row r="209" spans="1:13" hidden="1" x14ac:dyDescent="0.2">
      <c r="A209" s="2" t="s">
        <v>38</v>
      </c>
      <c r="B209" s="2" t="s">
        <v>39</v>
      </c>
      <c r="C209" s="4" t="s">
        <v>13</v>
      </c>
      <c r="D209" s="4" t="s">
        <v>13</v>
      </c>
      <c r="E209" s="4" t="s">
        <v>13</v>
      </c>
      <c r="F209" s="4" t="s">
        <v>13</v>
      </c>
      <c r="G209" s="4" t="s">
        <v>13</v>
      </c>
      <c r="H209" s="4" t="s">
        <v>13</v>
      </c>
      <c r="I209" s="4" t="s">
        <v>13</v>
      </c>
      <c r="J209" s="3"/>
      <c r="K209" s="3" t="s">
        <v>121</v>
      </c>
      <c r="M209">
        <f>+COUNT(Table1[[#This Row],[Need]:[Overall]])</f>
        <v>0</v>
      </c>
    </row>
    <row r="210" spans="1:13" hidden="1" x14ac:dyDescent="0.2">
      <c r="A210" s="2" t="s">
        <v>38</v>
      </c>
      <c r="B210" s="2" t="s">
        <v>39</v>
      </c>
      <c r="C210" s="4">
        <v>5</v>
      </c>
      <c r="D210" s="4">
        <v>5</v>
      </c>
      <c r="E210" s="4">
        <v>5</v>
      </c>
      <c r="F210" s="4">
        <v>5</v>
      </c>
      <c r="G210" s="4">
        <v>5</v>
      </c>
      <c r="H210" s="4">
        <v>5</v>
      </c>
      <c r="I210" s="4">
        <v>5</v>
      </c>
      <c r="J210" s="4">
        <v>35</v>
      </c>
      <c r="K210" s="4">
        <v>100</v>
      </c>
      <c r="M210">
        <f>+COUNT(Table1[[#This Row],[Need]:[Overall]])</f>
        <v>7</v>
      </c>
    </row>
    <row r="211" spans="1:13" hidden="1" x14ac:dyDescent="0.2">
      <c r="A211" s="2" t="s">
        <v>38</v>
      </c>
      <c r="B211" s="2" t="s">
        <v>39</v>
      </c>
      <c r="C211" s="4">
        <v>5</v>
      </c>
      <c r="D211" s="4">
        <v>5</v>
      </c>
      <c r="E211" s="4">
        <v>5</v>
      </c>
      <c r="F211" s="4">
        <v>5</v>
      </c>
      <c r="G211" s="4">
        <v>5</v>
      </c>
      <c r="H211" s="4">
        <v>5</v>
      </c>
      <c r="I211" s="4">
        <v>5</v>
      </c>
      <c r="J211" s="4">
        <v>35</v>
      </c>
      <c r="K211" s="4">
        <v>100</v>
      </c>
      <c r="M211">
        <f>+COUNT(Table1[[#This Row],[Need]:[Overall]])</f>
        <v>7</v>
      </c>
    </row>
    <row r="212" spans="1:13" hidden="1" x14ac:dyDescent="0.2">
      <c r="A212" s="2" t="s">
        <v>24</v>
      </c>
      <c r="B212" s="2" t="s">
        <v>40</v>
      </c>
      <c r="C212" s="4">
        <v>5</v>
      </c>
      <c r="D212" s="4">
        <v>4</v>
      </c>
      <c r="E212" s="4">
        <v>3</v>
      </c>
      <c r="F212" s="4">
        <v>3</v>
      </c>
      <c r="G212" s="4">
        <v>4</v>
      </c>
      <c r="H212" s="4">
        <v>4</v>
      </c>
      <c r="I212" s="4">
        <v>4</v>
      </c>
      <c r="J212" s="4">
        <v>27</v>
      </c>
      <c r="K212" s="4">
        <v>77.142857142857196</v>
      </c>
      <c r="M212">
        <f>+COUNT(Table1[[#This Row],[Need]:[Overall]])</f>
        <v>7</v>
      </c>
    </row>
    <row r="213" spans="1:13" hidden="1" x14ac:dyDescent="0.2">
      <c r="A213" s="2" t="s">
        <v>24</v>
      </c>
      <c r="B213" s="2" t="s">
        <v>40</v>
      </c>
      <c r="C213" s="4">
        <v>5</v>
      </c>
      <c r="D213" s="4">
        <v>5</v>
      </c>
      <c r="E213" s="4">
        <v>4</v>
      </c>
      <c r="F213" s="4">
        <v>3</v>
      </c>
      <c r="G213" s="4">
        <v>4</v>
      </c>
      <c r="H213" s="4">
        <v>3</v>
      </c>
      <c r="I213" s="4">
        <v>4</v>
      </c>
      <c r="J213" s="4">
        <v>28</v>
      </c>
      <c r="K213" s="4">
        <v>80</v>
      </c>
      <c r="M213">
        <f>+COUNT(Table1[[#This Row],[Need]:[Overall]])</f>
        <v>7</v>
      </c>
    </row>
    <row r="214" spans="1:13" hidden="1" x14ac:dyDescent="0.2">
      <c r="A214" s="2" t="s">
        <v>24</v>
      </c>
      <c r="B214" s="2" t="s">
        <v>40</v>
      </c>
      <c r="C214" s="4">
        <v>5</v>
      </c>
      <c r="D214" s="4">
        <v>4</v>
      </c>
      <c r="E214" s="4">
        <v>4</v>
      </c>
      <c r="F214" s="4">
        <v>5</v>
      </c>
      <c r="G214" s="4">
        <v>5</v>
      </c>
      <c r="H214" s="4">
        <v>5</v>
      </c>
      <c r="I214" s="4">
        <v>4</v>
      </c>
      <c r="J214" s="4">
        <v>32</v>
      </c>
      <c r="K214" s="4">
        <v>91.428571428571402</v>
      </c>
      <c r="M214">
        <f>+COUNT(Table1[[#This Row],[Need]:[Overall]])</f>
        <v>7</v>
      </c>
    </row>
    <row r="215" spans="1:13" hidden="1" x14ac:dyDescent="0.2">
      <c r="A215" s="2" t="s">
        <v>24</v>
      </c>
      <c r="B215" s="2" t="s">
        <v>40</v>
      </c>
      <c r="C215" s="4">
        <v>4</v>
      </c>
      <c r="D215" s="4">
        <v>4</v>
      </c>
      <c r="E215" s="4">
        <v>4</v>
      </c>
      <c r="F215" s="4">
        <v>4</v>
      </c>
      <c r="G215" s="4">
        <v>4</v>
      </c>
      <c r="H215" s="4">
        <v>4</v>
      </c>
      <c r="I215" s="4">
        <v>4</v>
      </c>
      <c r="J215" s="4">
        <v>28</v>
      </c>
      <c r="K215" s="4">
        <v>80</v>
      </c>
      <c r="M215">
        <f>+COUNT(Table1[[#This Row],[Need]:[Overall]])</f>
        <v>7</v>
      </c>
    </row>
    <row r="216" spans="1:13" hidden="1" x14ac:dyDescent="0.2">
      <c r="A216" s="2" t="s">
        <v>24</v>
      </c>
      <c r="B216" s="2" t="s">
        <v>40</v>
      </c>
      <c r="C216" s="4">
        <v>5</v>
      </c>
      <c r="D216" s="4">
        <v>4</v>
      </c>
      <c r="E216" s="4">
        <v>4</v>
      </c>
      <c r="F216" s="4">
        <v>5</v>
      </c>
      <c r="G216" s="4">
        <v>4</v>
      </c>
      <c r="H216" s="4">
        <v>5</v>
      </c>
      <c r="I216" s="4">
        <v>5</v>
      </c>
      <c r="J216" s="4">
        <v>32</v>
      </c>
      <c r="K216" s="4">
        <v>91.428571428571402</v>
      </c>
      <c r="M216">
        <f>+COUNT(Table1[[#This Row],[Need]:[Overall]])</f>
        <v>7</v>
      </c>
    </row>
    <row r="217" spans="1:13" hidden="1" x14ac:dyDescent="0.2">
      <c r="A217" s="2" t="s">
        <v>24</v>
      </c>
      <c r="B217" s="2" t="s">
        <v>40</v>
      </c>
      <c r="C217" s="4">
        <v>3</v>
      </c>
      <c r="D217" s="4">
        <v>4</v>
      </c>
      <c r="E217" s="4">
        <v>4</v>
      </c>
      <c r="F217" s="4">
        <v>3</v>
      </c>
      <c r="G217" s="4">
        <v>4</v>
      </c>
      <c r="H217" s="4">
        <v>4</v>
      </c>
      <c r="I217" s="4">
        <v>4</v>
      </c>
      <c r="J217" s="4">
        <v>26</v>
      </c>
      <c r="K217" s="4">
        <v>74.285714285714306</v>
      </c>
      <c r="M217">
        <f>+COUNT(Table1[[#This Row],[Need]:[Overall]])</f>
        <v>7</v>
      </c>
    </row>
    <row r="218" spans="1:13" hidden="1" x14ac:dyDescent="0.2">
      <c r="A218" s="2" t="s">
        <v>24</v>
      </c>
      <c r="B218" s="2" t="s">
        <v>40</v>
      </c>
      <c r="C218" s="4">
        <v>5</v>
      </c>
      <c r="D218" s="4">
        <v>4</v>
      </c>
      <c r="E218" s="4">
        <v>3</v>
      </c>
      <c r="F218" s="4">
        <v>4</v>
      </c>
      <c r="G218" s="4">
        <v>5</v>
      </c>
      <c r="H218" s="4">
        <v>3</v>
      </c>
      <c r="I218" s="4">
        <v>3</v>
      </c>
      <c r="J218" s="4">
        <v>27</v>
      </c>
      <c r="K218" s="4">
        <v>77.142857142857196</v>
      </c>
      <c r="M218">
        <f>+COUNT(Table1[[#This Row],[Need]:[Overall]])</f>
        <v>7</v>
      </c>
    </row>
    <row r="219" spans="1:13" hidden="1" x14ac:dyDescent="0.2">
      <c r="A219" s="2" t="s">
        <v>24</v>
      </c>
      <c r="B219" s="2" t="s">
        <v>40</v>
      </c>
      <c r="C219" s="4">
        <v>5</v>
      </c>
      <c r="D219" s="4">
        <v>5</v>
      </c>
      <c r="E219" s="4">
        <v>5</v>
      </c>
      <c r="F219" s="4">
        <v>5</v>
      </c>
      <c r="G219" s="4">
        <v>5</v>
      </c>
      <c r="H219" s="4">
        <v>4</v>
      </c>
      <c r="I219" s="4">
        <v>5</v>
      </c>
      <c r="J219" s="4">
        <v>34</v>
      </c>
      <c r="K219" s="4">
        <v>97.142857142857096</v>
      </c>
      <c r="M219">
        <f>+COUNT(Table1[[#This Row],[Need]:[Overall]])</f>
        <v>7</v>
      </c>
    </row>
    <row r="220" spans="1:13" hidden="1" x14ac:dyDescent="0.2">
      <c r="A220" s="2" t="s">
        <v>24</v>
      </c>
      <c r="B220" s="2" t="s">
        <v>40</v>
      </c>
      <c r="C220" s="4">
        <v>5</v>
      </c>
      <c r="D220" s="4">
        <v>4</v>
      </c>
      <c r="E220" s="4">
        <v>5</v>
      </c>
      <c r="F220" s="4">
        <v>5</v>
      </c>
      <c r="G220" s="4">
        <v>5</v>
      </c>
      <c r="H220" s="4">
        <v>5</v>
      </c>
      <c r="I220" s="4">
        <v>5</v>
      </c>
      <c r="J220" s="4">
        <v>34</v>
      </c>
      <c r="K220" s="4">
        <v>97.142857142857096</v>
      </c>
      <c r="M220">
        <f>+COUNT(Table1[[#This Row],[Need]:[Overall]])</f>
        <v>7</v>
      </c>
    </row>
    <row r="221" spans="1:13" hidden="1" x14ac:dyDescent="0.2">
      <c r="A221" s="2" t="s">
        <v>24</v>
      </c>
      <c r="B221" s="2" t="s">
        <v>40</v>
      </c>
      <c r="C221" s="4">
        <v>5</v>
      </c>
      <c r="D221" s="4">
        <v>5</v>
      </c>
      <c r="E221" s="4">
        <v>3</v>
      </c>
      <c r="F221" s="4">
        <v>5</v>
      </c>
      <c r="G221" s="4">
        <v>5</v>
      </c>
      <c r="H221" s="4">
        <v>4</v>
      </c>
      <c r="I221" s="4">
        <v>5</v>
      </c>
      <c r="J221" s="4">
        <v>32</v>
      </c>
      <c r="K221" s="4">
        <v>91.428571428571402</v>
      </c>
      <c r="M221">
        <f>+COUNT(Table1[[#This Row],[Need]:[Overall]])</f>
        <v>7</v>
      </c>
    </row>
    <row r="222" spans="1:13" hidden="1" x14ac:dyDescent="0.2">
      <c r="A222" s="2" t="s">
        <v>24</v>
      </c>
      <c r="B222" s="2" t="s">
        <v>40</v>
      </c>
      <c r="C222" s="4">
        <v>5</v>
      </c>
      <c r="D222" s="4">
        <v>5</v>
      </c>
      <c r="E222" s="4">
        <v>5</v>
      </c>
      <c r="F222" s="4">
        <v>5</v>
      </c>
      <c r="G222" s="4">
        <v>5</v>
      </c>
      <c r="H222" s="4">
        <v>5</v>
      </c>
      <c r="I222" s="4">
        <v>5</v>
      </c>
      <c r="J222" s="4">
        <v>35</v>
      </c>
      <c r="K222" s="4">
        <v>100</v>
      </c>
      <c r="M222">
        <f>+COUNT(Table1[[#This Row],[Need]:[Overall]])</f>
        <v>7</v>
      </c>
    </row>
    <row r="223" spans="1:13" hidden="1" x14ac:dyDescent="0.2">
      <c r="A223" s="2" t="s">
        <v>24</v>
      </c>
      <c r="B223" s="2" t="s">
        <v>40</v>
      </c>
      <c r="C223" s="4">
        <v>5</v>
      </c>
      <c r="D223" s="4">
        <v>4</v>
      </c>
      <c r="E223" s="4">
        <v>4</v>
      </c>
      <c r="F223" s="4">
        <v>5</v>
      </c>
      <c r="G223" s="4">
        <v>5</v>
      </c>
      <c r="H223" s="4">
        <v>5</v>
      </c>
      <c r="I223" s="4">
        <v>5</v>
      </c>
      <c r="J223" s="4">
        <v>33</v>
      </c>
      <c r="K223" s="4">
        <v>94.285714285714306</v>
      </c>
      <c r="M223">
        <f>+COUNT(Table1[[#This Row],[Need]:[Overall]])</f>
        <v>7</v>
      </c>
    </row>
    <row r="224" spans="1:13" hidden="1" x14ac:dyDescent="0.2">
      <c r="A224" s="2" t="s">
        <v>24</v>
      </c>
      <c r="B224" s="2" t="s">
        <v>40</v>
      </c>
      <c r="C224" s="4" t="s">
        <v>13</v>
      </c>
      <c r="D224" s="4" t="s">
        <v>13</v>
      </c>
      <c r="E224" s="4" t="s">
        <v>13</v>
      </c>
      <c r="F224" s="4" t="s">
        <v>13</v>
      </c>
      <c r="G224" s="4" t="s">
        <v>13</v>
      </c>
      <c r="H224" s="4" t="s">
        <v>13</v>
      </c>
      <c r="I224" s="4" t="s">
        <v>13</v>
      </c>
      <c r="J224" s="3"/>
      <c r="K224" s="3" t="s">
        <v>121</v>
      </c>
      <c r="M224">
        <f>+COUNT(Table1[[#This Row],[Need]:[Overall]])</f>
        <v>0</v>
      </c>
    </row>
    <row r="225" spans="1:13" hidden="1" x14ac:dyDescent="0.2">
      <c r="A225" s="2" t="s">
        <v>24</v>
      </c>
      <c r="B225" s="2" t="s">
        <v>40</v>
      </c>
      <c r="C225" s="4">
        <v>5</v>
      </c>
      <c r="D225" s="4">
        <v>4</v>
      </c>
      <c r="E225" s="4">
        <v>5</v>
      </c>
      <c r="F225" s="4">
        <v>5</v>
      </c>
      <c r="G225" s="4">
        <v>5</v>
      </c>
      <c r="H225" s="4">
        <v>5</v>
      </c>
      <c r="I225" s="4">
        <v>5</v>
      </c>
      <c r="J225" s="4">
        <v>34</v>
      </c>
      <c r="K225" s="4">
        <v>97.142857142857096</v>
      </c>
      <c r="M225">
        <f>+COUNT(Table1[[#This Row],[Need]:[Overall]])</f>
        <v>7</v>
      </c>
    </row>
    <row r="226" spans="1:13" hidden="1" x14ac:dyDescent="0.2">
      <c r="A226" s="2" t="s">
        <v>24</v>
      </c>
      <c r="B226" s="2" t="s">
        <v>40</v>
      </c>
      <c r="C226" s="4">
        <v>5</v>
      </c>
      <c r="D226" s="4">
        <v>5</v>
      </c>
      <c r="E226" s="4">
        <v>4</v>
      </c>
      <c r="F226" s="4">
        <v>5</v>
      </c>
      <c r="G226" s="4">
        <v>5</v>
      </c>
      <c r="H226" s="4">
        <v>3</v>
      </c>
      <c r="I226" s="4">
        <v>5</v>
      </c>
      <c r="J226" s="4">
        <v>32</v>
      </c>
      <c r="K226" s="4">
        <v>91.428571428571402</v>
      </c>
      <c r="M226">
        <f>+COUNT(Table1[[#This Row],[Need]:[Overall]])</f>
        <v>7</v>
      </c>
    </row>
    <row r="227" spans="1:13" hidden="1" x14ac:dyDescent="0.2">
      <c r="A227" s="2" t="s">
        <v>41</v>
      </c>
      <c r="B227" s="2" t="s">
        <v>42</v>
      </c>
      <c r="C227" s="4">
        <v>5</v>
      </c>
      <c r="D227" s="4">
        <v>3</v>
      </c>
      <c r="E227" s="4">
        <v>3</v>
      </c>
      <c r="F227" s="4">
        <v>4</v>
      </c>
      <c r="G227" s="4">
        <v>3</v>
      </c>
      <c r="H227" s="4">
        <v>3</v>
      </c>
      <c r="I227" s="4">
        <v>3</v>
      </c>
      <c r="J227" s="4">
        <v>24</v>
      </c>
      <c r="K227" s="4">
        <v>68.571428571428598</v>
      </c>
      <c r="M227">
        <f>+COUNT(Table1[[#This Row],[Need]:[Overall]])</f>
        <v>7</v>
      </c>
    </row>
    <row r="228" spans="1:13" hidden="1" x14ac:dyDescent="0.2">
      <c r="A228" s="2" t="s">
        <v>41</v>
      </c>
      <c r="B228" s="2" t="s">
        <v>42</v>
      </c>
      <c r="C228" s="4">
        <v>4</v>
      </c>
      <c r="D228" s="4">
        <v>4</v>
      </c>
      <c r="E228" s="4">
        <v>4</v>
      </c>
      <c r="F228" s="4">
        <v>3</v>
      </c>
      <c r="G228" s="4">
        <v>3</v>
      </c>
      <c r="H228" s="4">
        <v>4</v>
      </c>
      <c r="I228" s="4">
        <v>4</v>
      </c>
      <c r="J228" s="4">
        <v>26</v>
      </c>
      <c r="K228" s="4">
        <v>74.285714285714306</v>
      </c>
      <c r="M228">
        <f>+COUNT(Table1[[#This Row],[Need]:[Overall]])</f>
        <v>7</v>
      </c>
    </row>
    <row r="229" spans="1:13" hidden="1" x14ac:dyDescent="0.2">
      <c r="A229" s="2" t="s">
        <v>41</v>
      </c>
      <c r="B229" s="2" t="s">
        <v>42</v>
      </c>
      <c r="C229" s="4">
        <v>5</v>
      </c>
      <c r="D229" s="4">
        <v>4</v>
      </c>
      <c r="E229" s="4">
        <v>5</v>
      </c>
      <c r="F229" s="4">
        <v>5</v>
      </c>
      <c r="G229" s="4">
        <v>4</v>
      </c>
      <c r="H229" s="4">
        <v>4</v>
      </c>
      <c r="I229" s="4">
        <v>5</v>
      </c>
      <c r="J229" s="4">
        <v>32</v>
      </c>
      <c r="K229" s="4">
        <v>91.428571428571402</v>
      </c>
      <c r="M229">
        <f>+COUNT(Table1[[#This Row],[Need]:[Overall]])</f>
        <v>7</v>
      </c>
    </row>
    <row r="230" spans="1:13" hidden="1" x14ac:dyDescent="0.2">
      <c r="A230" s="2" t="s">
        <v>41</v>
      </c>
      <c r="B230" s="2" t="s">
        <v>42</v>
      </c>
      <c r="C230" s="4">
        <v>5</v>
      </c>
      <c r="D230" s="4">
        <v>4</v>
      </c>
      <c r="E230" s="4">
        <v>5</v>
      </c>
      <c r="F230" s="4">
        <v>4</v>
      </c>
      <c r="G230" s="4">
        <v>4</v>
      </c>
      <c r="H230" s="4">
        <v>4</v>
      </c>
      <c r="I230" s="4">
        <v>4</v>
      </c>
      <c r="J230" s="4">
        <v>30</v>
      </c>
      <c r="K230" s="4">
        <v>85.714285714285694</v>
      </c>
      <c r="M230">
        <f>+COUNT(Table1[[#This Row],[Need]:[Overall]])</f>
        <v>7</v>
      </c>
    </row>
    <row r="231" spans="1:13" hidden="1" x14ac:dyDescent="0.2">
      <c r="A231" s="2" t="s">
        <v>41</v>
      </c>
      <c r="B231" s="2" t="s">
        <v>42</v>
      </c>
      <c r="C231" s="4" t="s">
        <v>13</v>
      </c>
      <c r="D231" s="4" t="s">
        <v>13</v>
      </c>
      <c r="E231" s="4" t="s">
        <v>13</v>
      </c>
      <c r="F231" s="4" t="s">
        <v>13</v>
      </c>
      <c r="G231" s="4" t="s">
        <v>13</v>
      </c>
      <c r="H231" s="4" t="s">
        <v>13</v>
      </c>
      <c r="I231" s="4" t="s">
        <v>13</v>
      </c>
      <c r="J231" s="3"/>
      <c r="K231" s="3" t="s">
        <v>121</v>
      </c>
      <c r="M231">
        <f>+COUNT(Table1[[#This Row],[Need]:[Overall]])</f>
        <v>0</v>
      </c>
    </row>
    <row r="232" spans="1:13" hidden="1" x14ac:dyDescent="0.2">
      <c r="A232" s="2" t="s">
        <v>41</v>
      </c>
      <c r="B232" s="2" t="s">
        <v>42</v>
      </c>
      <c r="C232" s="4">
        <v>3</v>
      </c>
      <c r="D232" s="4">
        <v>4</v>
      </c>
      <c r="E232" s="4">
        <v>3</v>
      </c>
      <c r="F232" s="4">
        <v>3</v>
      </c>
      <c r="G232" s="4">
        <v>3</v>
      </c>
      <c r="H232" s="4">
        <v>3</v>
      </c>
      <c r="I232" s="4">
        <v>3</v>
      </c>
      <c r="J232" s="4">
        <v>22</v>
      </c>
      <c r="K232" s="4">
        <v>62.857142857142897</v>
      </c>
      <c r="M232">
        <f>+COUNT(Table1[[#This Row],[Need]:[Overall]])</f>
        <v>7</v>
      </c>
    </row>
    <row r="233" spans="1:13" hidden="1" x14ac:dyDescent="0.2">
      <c r="A233" s="2" t="s">
        <v>41</v>
      </c>
      <c r="B233" s="2" t="s">
        <v>42</v>
      </c>
      <c r="C233" s="4">
        <v>5</v>
      </c>
      <c r="D233" s="4">
        <v>5</v>
      </c>
      <c r="E233" s="4">
        <v>5</v>
      </c>
      <c r="F233" s="4">
        <v>5</v>
      </c>
      <c r="G233" s="4">
        <v>5</v>
      </c>
      <c r="H233" s="4">
        <v>4</v>
      </c>
      <c r="I233" s="4">
        <v>5</v>
      </c>
      <c r="J233" s="4">
        <v>34</v>
      </c>
      <c r="K233" s="4">
        <v>97.142857142857096</v>
      </c>
      <c r="M233">
        <f>+COUNT(Table1[[#This Row],[Need]:[Overall]])</f>
        <v>7</v>
      </c>
    </row>
    <row r="234" spans="1:13" hidden="1" x14ac:dyDescent="0.2">
      <c r="A234" s="2" t="s">
        <v>41</v>
      </c>
      <c r="B234" s="2" t="s">
        <v>42</v>
      </c>
      <c r="C234" s="4">
        <v>5</v>
      </c>
      <c r="D234" s="4">
        <v>3</v>
      </c>
      <c r="E234" s="4">
        <v>4</v>
      </c>
      <c r="F234" s="4">
        <v>3</v>
      </c>
      <c r="G234" s="4">
        <v>4</v>
      </c>
      <c r="H234" s="4">
        <v>3</v>
      </c>
      <c r="I234" s="4">
        <v>3</v>
      </c>
      <c r="J234" s="4">
        <v>25</v>
      </c>
      <c r="K234" s="4">
        <v>71.428571428571402</v>
      </c>
      <c r="M234">
        <f>+COUNT(Table1[[#This Row],[Need]:[Overall]])</f>
        <v>7</v>
      </c>
    </row>
    <row r="235" spans="1:13" hidden="1" x14ac:dyDescent="0.2">
      <c r="A235" s="2" t="s">
        <v>41</v>
      </c>
      <c r="B235" s="2" t="s">
        <v>42</v>
      </c>
      <c r="C235" s="4">
        <v>4</v>
      </c>
      <c r="D235" s="4">
        <v>5</v>
      </c>
      <c r="E235" s="4">
        <v>5</v>
      </c>
      <c r="F235" s="4">
        <v>5</v>
      </c>
      <c r="G235" s="4">
        <v>5</v>
      </c>
      <c r="H235" s="4">
        <v>5</v>
      </c>
      <c r="I235" s="4">
        <v>4</v>
      </c>
      <c r="J235" s="4">
        <v>33</v>
      </c>
      <c r="K235" s="4">
        <v>94.285714285714306</v>
      </c>
      <c r="M235">
        <f>+COUNT(Table1[[#This Row],[Need]:[Overall]])</f>
        <v>7</v>
      </c>
    </row>
    <row r="236" spans="1:13" hidden="1" x14ac:dyDescent="0.2">
      <c r="A236" s="2" t="s">
        <v>41</v>
      </c>
      <c r="B236" s="2" t="s">
        <v>42</v>
      </c>
      <c r="C236" s="4">
        <v>5</v>
      </c>
      <c r="D236" s="4">
        <v>4</v>
      </c>
      <c r="E236" s="4">
        <v>5</v>
      </c>
      <c r="F236" s="4">
        <v>5</v>
      </c>
      <c r="G236" s="4">
        <v>5</v>
      </c>
      <c r="H236" s="4">
        <v>4</v>
      </c>
      <c r="I236" s="4">
        <v>5</v>
      </c>
      <c r="J236" s="4">
        <v>33</v>
      </c>
      <c r="K236" s="4">
        <v>94.285714285714306</v>
      </c>
      <c r="M236">
        <f>+COUNT(Table1[[#This Row],[Need]:[Overall]])</f>
        <v>7</v>
      </c>
    </row>
    <row r="237" spans="1:13" hidden="1" x14ac:dyDescent="0.2">
      <c r="A237" s="2" t="s">
        <v>41</v>
      </c>
      <c r="B237" s="2" t="s">
        <v>42</v>
      </c>
      <c r="C237" s="4">
        <v>4</v>
      </c>
      <c r="D237" s="4">
        <v>3</v>
      </c>
      <c r="E237" s="4">
        <v>4</v>
      </c>
      <c r="F237" s="4">
        <v>4</v>
      </c>
      <c r="G237" s="4">
        <v>5</v>
      </c>
      <c r="H237" s="4">
        <v>4</v>
      </c>
      <c r="I237" s="4">
        <v>4</v>
      </c>
      <c r="J237" s="4">
        <v>28</v>
      </c>
      <c r="K237" s="4">
        <v>80</v>
      </c>
      <c r="M237">
        <f>+COUNT(Table1[[#This Row],[Need]:[Overall]])</f>
        <v>7</v>
      </c>
    </row>
    <row r="238" spans="1:13" hidden="1" x14ac:dyDescent="0.2">
      <c r="A238" s="2" t="s">
        <v>41</v>
      </c>
      <c r="B238" s="2" t="s">
        <v>42</v>
      </c>
      <c r="C238" s="4">
        <v>5</v>
      </c>
      <c r="D238" s="4">
        <v>4</v>
      </c>
      <c r="E238" s="4">
        <v>5</v>
      </c>
      <c r="F238" s="4">
        <v>5</v>
      </c>
      <c r="G238" s="4">
        <v>5</v>
      </c>
      <c r="H238" s="4">
        <v>4</v>
      </c>
      <c r="I238" s="4">
        <v>4</v>
      </c>
      <c r="J238" s="4">
        <v>32</v>
      </c>
      <c r="K238" s="4">
        <v>91.428571428571402</v>
      </c>
      <c r="M238">
        <f>+COUNT(Table1[[#This Row],[Need]:[Overall]])</f>
        <v>7</v>
      </c>
    </row>
    <row r="239" spans="1:13" hidden="1" x14ac:dyDescent="0.2">
      <c r="A239" s="2" t="s">
        <v>41</v>
      </c>
      <c r="B239" s="2" t="s">
        <v>42</v>
      </c>
      <c r="C239" s="4" t="s">
        <v>13</v>
      </c>
      <c r="D239" s="4" t="s">
        <v>13</v>
      </c>
      <c r="E239" s="4" t="s">
        <v>13</v>
      </c>
      <c r="F239" s="4" t="s">
        <v>13</v>
      </c>
      <c r="G239" s="4" t="s">
        <v>13</v>
      </c>
      <c r="H239" s="4" t="s">
        <v>13</v>
      </c>
      <c r="I239" s="4" t="s">
        <v>13</v>
      </c>
      <c r="J239" s="3"/>
      <c r="K239" s="3" t="s">
        <v>121</v>
      </c>
      <c r="M239">
        <f>+COUNT(Table1[[#This Row],[Need]:[Overall]])</f>
        <v>0</v>
      </c>
    </row>
    <row r="240" spans="1:13" hidden="1" x14ac:dyDescent="0.2">
      <c r="A240" s="2" t="s">
        <v>41</v>
      </c>
      <c r="B240" s="2" t="s">
        <v>42</v>
      </c>
      <c r="C240" s="4">
        <v>5</v>
      </c>
      <c r="D240" s="4">
        <v>5</v>
      </c>
      <c r="E240" s="4">
        <v>5</v>
      </c>
      <c r="F240" s="4">
        <v>5</v>
      </c>
      <c r="G240" s="4">
        <v>5</v>
      </c>
      <c r="H240" s="4">
        <v>4</v>
      </c>
      <c r="I240" s="4">
        <v>5</v>
      </c>
      <c r="J240" s="4">
        <v>34</v>
      </c>
      <c r="K240" s="4">
        <v>97.142857142857096</v>
      </c>
      <c r="M240">
        <f>+COUNT(Table1[[#This Row],[Need]:[Overall]])</f>
        <v>7</v>
      </c>
    </row>
    <row r="241" spans="1:13" hidden="1" x14ac:dyDescent="0.2">
      <c r="A241" s="2" t="s">
        <v>41</v>
      </c>
      <c r="B241" s="2" t="s">
        <v>42</v>
      </c>
      <c r="C241" s="4">
        <v>5</v>
      </c>
      <c r="D241" s="4">
        <v>5</v>
      </c>
      <c r="E241" s="4">
        <v>5</v>
      </c>
      <c r="F241" s="4">
        <v>5</v>
      </c>
      <c r="G241" s="4">
        <v>4</v>
      </c>
      <c r="H241" s="4">
        <v>5</v>
      </c>
      <c r="I241" s="4">
        <v>4</v>
      </c>
      <c r="J241" s="4">
        <v>33</v>
      </c>
      <c r="K241" s="4">
        <v>94.285714285714306</v>
      </c>
      <c r="M241">
        <f>+COUNT(Table1[[#This Row],[Need]:[Overall]])</f>
        <v>7</v>
      </c>
    </row>
    <row r="242" spans="1:13" hidden="1" x14ac:dyDescent="0.2">
      <c r="A242" s="2" t="s">
        <v>43</v>
      </c>
      <c r="B242" s="2" t="s">
        <v>44</v>
      </c>
      <c r="C242" s="4">
        <v>4</v>
      </c>
      <c r="D242" s="4">
        <v>4</v>
      </c>
      <c r="E242" s="4">
        <v>4</v>
      </c>
      <c r="F242" s="4">
        <v>4</v>
      </c>
      <c r="G242" s="4">
        <v>4</v>
      </c>
      <c r="H242" s="4">
        <v>4</v>
      </c>
      <c r="I242" s="4">
        <v>4</v>
      </c>
      <c r="J242" s="4">
        <v>28</v>
      </c>
      <c r="K242" s="4">
        <v>80</v>
      </c>
      <c r="M242">
        <f>+COUNT(Table1[[#This Row],[Need]:[Overall]])</f>
        <v>7</v>
      </c>
    </row>
    <row r="243" spans="1:13" hidden="1" x14ac:dyDescent="0.2">
      <c r="A243" s="2" t="s">
        <v>43</v>
      </c>
      <c r="B243" s="2" t="s">
        <v>44</v>
      </c>
      <c r="C243" s="4">
        <v>4</v>
      </c>
      <c r="D243" s="4">
        <v>4</v>
      </c>
      <c r="E243" s="4">
        <v>4</v>
      </c>
      <c r="F243" s="4">
        <v>4</v>
      </c>
      <c r="G243" s="4">
        <v>5</v>
      </c>
      <c r="H243" s="4">
        <v>3</v>
      </c>
      <c r="I243" s="4">
        <v>4</v>
      </c>
      <c r="J243" s="4">
        <v>28</v>
      </c>
      <c r="K243" s="4">
        <v>80</v>
      </c>
      <c r="M243">
        <f>+COUNT(Table1[[#This Row],[Need]:[Overall]])</f>
        <v>7</v>
      </c>
    </row>
    <row r="244" spans="1:13" hidden="1" x14ac:dyDescent="0.2">
      <c r="A244" s="2" t="s">
        <v>43</v>
      </c>
      <c r="B244" s="2" t="s">
        <v>44</v>
      </c>
      <c r="C244" s="4">
        <v>4</v>
      </c>
      <c r="D244" s="4">
        <v>4</v>
      </c>
      <c r="E244" s="4">
        <v>4</v>
      </c>
      <c r="F244" s="4">
        <v>4</v>
      </c>
      <c r="G244" s="4">
        <v>4</v>
      </c>
      <c r="H244" s="4">
        <v>4</v>
      </c>
      <c r="I244" s="4">
        <v>4</v>
      </c>
      <c r="J244" s="4">
        <v>28</v>
      </c>
      <c r="K244" s="4">
        <v>80</v>
      </c>
      <c r="M244">
        <f>+COUNT(Table1[[#This Row],[Need]:[Overall]])</f>
        <v>7</v>
      </c>
    </row>
    <row r="245" spans="1:13" hidden="1" x14ac:dyDescent="0.2">
      <c r="A245" s="2" t="s">
        <v>43</v>
      </c>
      <c r="B245" s="2" t="s">
        <v>44</v>
      </c>
      <c r="C245" s="4">
        <v>4</v>
      </c>
      <c r="D245" s="4">
        <v>4</v>
      </c>
      <c r="E245" s="4">
        <v>4</v>
      </c>
      <c r="F245" s="4">
        <v>4</v>
      </c>
      <c r="G245" s="4">
        <v>4</v>
      </c>
      <c r="H245" s="4">
        <v>4</v>
      </c>
      <c r="I245" s="4">
        <v>4</v>
      </c>
      <c r="J245" s="4">
        <v>28</v>
      </c>
      <c r="K245" s="4">
        <v>80</v>
      </c>
      <c r="M245">
        <f>+COUNT(Table1[[#This Row],[Need]:[Overall]])</f>
        <v>7</v>
      </c>
    </row>
    <row r="246" spans="1:13" hidden="1" x14ac:dyDescent="0.2">
      <c r="A246" s="2" t="s">
        <v>43</v>
      </c>
      <c r="B246" s="2" t="s">
        <v>44</v>
      </c>
      <c r="C246" s="4">
        <v>5</v>
      </c>
      <c r="D246" s="4">
        <v>4</v>
      </c>
      <c r="E246" s="4">
        <v>5</v>
      </c>
      <c r="F246" s="4">
        <v>5</v>
      </c>
      <c r="G246" s="4">
        <v>4</v>
      </c>
      <c r="H246" s="4">
        <v>5</v>
      </c>
      <c r="I246" s="4">
        <v>5</v>
      </c>
      <c r="J246" s="4">
        <v>33</v>
      </c>
      <c r="K246" s="4">
        <v>94.285714285714306</v>
      </c>
      <c r="M246">
        <f>+COUNT(Table1[[#This Row],[Need]:[Overall]])</f>
        <v>7</v>
      </c>
    </row>
    <row r="247" spans="1:13" hidden="1" x14ac:dyDescent="0.2">
      <c r="A247" s="2" t="s">
        <v>43</v>
      </c>
      <c r="B247" s="2" t="s">
        <v>44</v>
      </c>
      <c r="C247" s="4">
        <v>4</v>
      </c>
      <c r="D247" s="4">
        <v>4</v>
      </c>
      <c r="E247" s="4">
        <v>4</v>
      </c>
      <c r="F247" s="4">
        <v>3</v>
      </c>
      <c r="G247" s="4">
        <v>4</v>
      </c>
      <c r="H247" s="4">
        <v>4</v>
      </c>
      <c r="I247" s="4">
        <v>4</v>
      </c>
      <c r="J247" s="4">
        <v>27</v>
      </c>
      <c r="K247" s="4">
        <v>77.142857142857196</v>
      </c>
      <c r="M247">
        <f>+COUNT(Table1[[#This Row],[Need]:[Overall]])</f>
        <v>7</v>
      </c>
    </row>
    <row r="248" spans="1:13" hidden="1" x14ac:dyDescent="0.2">
      <c r="A248" s="2" t="s">
        <v>43</v>
      </c>
      <c r="B248" s="2" t="s">
        <v>44</v>
      </c>
      <c r="C248" s="4">
        <v>5</v>
      </c>
      <c r="D248" s="4">
        <v>4</v>
      </c>
      <c r="E248" s="4">
        <v>5</v>
      </c>
      <c r="F248" s="4">
        <v>5</v>
      </c>
      <c r="G248" s="4">
        <v>5</v>
      </c>
      <c r="H248" s="4">
        <v>4</v>
      </c>
      <c r="I248" s="4">
        <v>5</v>
      </c>
      <c r="J248" s="4">
        <v>33</v>
      </c>
      <c r="K248" s="4">
        <v>94.285714285714306</v>
      </c>
      <c r="M248">
        <f>+COUNT(Table1[[#This Row],[Need]:[Overall]])</f>
        <v>7</v>
      </c>
    </row>
    <row r="249" spans="1:13" hidden="1" x14ac:dyDescent="0.2">
      <c r="A249" s="2" t="s">
        <v>43</v>
      </c>
      <c r="B249" s="2" t="s">
        <v>44</v>
      </c>
      <c r="C249" s="4">
        <v>5</v>
      </c>
      <c r="D249" s="4">
        <v>4</v>
      </c>
      <c r="E249" s="4">
        <v>4</v>
      </c>
      <c r="F249" s="4">
        <v>4</v>
      </c>
      <c r="G249" s="4">
        <v>4</v>
      </c>
      <c r="H249" s="4">
        <v>5</v>
      </c>
      <c r="I249" s="4">
        <v>5</v>
      </c>
      <c r="J249" s="4">
        <v>31</v>
      </c>
      <c r="K249" s="4">
        <v>88.571428571428598</v>
      </c>
      <c r="M249">
        <f>+COUNT(Table1[[#This Row],[Need]:[Overall]])</f>
        <v>7</v>
      </c>
    </row>
    <row r="250" spans="1:13" hidden="1" x14ac:dyDescent="0.2">
      <c r="A250" s="2" t="s">
        <v>43</v>
      </c>
      <c r="B250" s="2" t="s">
        <v>44</v>
      </c>
      <c r="C250" s="4">
        <v>5</v>
      </c>
      <c r="D250" s="4">
        <v>5</v>
      </c>
      <c r="E250" s="4">
        <v>5</v>
      </c>
      <c r="F250" s="4">
        <v>5</v>
      </c>
      <c r="G250" s="4">
        <v>5</v>
      </c>
      <c r="H250" s="4">
        <v>5</v>
      </c>
      <c r="I250" s="4">
        <v>5</v>
      </c>
      <c r="J250" s="4">
        <v>35</v>
      </c>
      <c r="K250" s="4">
        <v>100</v>
      </c>
      <c r="M250">
        <f>+COUNT(Table1[[#This Row],[Need]:[Overall]])</f>
        <v>7</v>
      </c>
    </row>
    <row r="251" spans="1:13" hidden="1" x14ac:dyDescent="0.2">
      <c r="A251" s="2" t="s">
        <v>43</v>
      </c>
      <c r="B251" s="2" t="s">
        <v>44</v>
      </c>
      <c r="C251" s="4">
        <v>5</v>
      </c>
      <c r="D251" s="4">
        <v>5</v>
      </c>
      <c r="E251" s="4">
        <v>5</v>
      </c>
      <c r="F251" s="4">
        <v>5</v>
      </c>
      <c r="G251" s="4">
        <v>5</v>
      </c>
      <c r="H251" s="4">
        <v>4</v>
      </c>
      <c r="I251" s="4">
        <v>5</v>
      </c>
      <c r="J251" s="4">
        <v>34</v>
      </c>
      <c r="K251" s="4">
        <v>97.142857142857096</v>
      </c>
      <c r="M251">
        <f>+COUNT(Table1[[#This Row],[Need]:[Overall]])</f>
        <v>7</v>
      </c>
    </row>
    <row r="252" spans="1:13" hidden="1" x14ac:dyDescent="0.2">
      <c r="A252" s="2" t="s">
        <v>43</v>
      </c>
      <c r="B252" s="2" t="s">
        <v>44</v>
      </c>
      <c r="C252" s="4">
        <v>5</v>
      </c>
      <c r="D252" s="4">
        <v>4</v>
      </c>
      <c r="E252" s="4">
        <v>4</v>
      </c>
      <c r="F252" s="4">
        <v>5</v>
      </c>
      <c r="G252" s="4">
        <v>5</v>
      </c>
      <c r="H252" s="4">
        <v>5</v>
      </c>
      <c r="I252" s="4">
        <v>5</v>
      </c>
      <c r="J252" s="4">
        <v>33</v>
      </c>
      <c r="K252" s="4">
        <v>94.285714285714306</v>
      </c>
      <c r="M252">
        <f>+COUNT(Table1[[#This Row],[Need]:[Overall]])</f>
        <v>7</v>
      </c>
    </row>
    <row r="253" spans="1:13" hidden="1" x14ac:dyDescent="0.2">
      <c r="A253" s="2" t="s">
        <v>43</v>
      </c>
      <c r="B253" s="2" t="s">
        <v>44</v>
      </c>
      <c r="C253" s="4">
        <v>5</v>
      </c>
      <c r="D253" s="4">
        <v>5</v>
      </c>
      <c r="E253" s="4">
        <v>4</v>
      </c>
      <c r="F253" s="4">
        <v>5</v>
      </c>
      <c r="G253" s="4">
        <v>5</v>
      </c>
      <c r="H253" s="4">
        <v>5</v>
      </c>
      <c r="I253" s="4">
        <v>5</v>
      </c>
      <c r="J253" s="4">
        <v>34</v>
      </c>
      <c r="K253" s="4">
        <v>97.142857142857096</v>
      </c>
      <c r="M253">
        <f>+COUNT(Table1[[#This Row],[Need]:[Overall]])</f>
        <v>7</v>
      </c>
    </row>
    <row r="254" spans="1:13" hidden="1" x14ac:dyDescent="0.2">
      <c r="A254" s="2" t="s">
        <v>43</v>
      </c>
      <c r="B254" s="2" t="s">
        <v>44</v>
      </c>
      <c r="C254" s="4" t="s">
        <v>13</v>
      </c>
      <c r="D254" s="4" t="s">
        <v>13</v>
      </c>
      <c r="E254" s="4" t="s">
        <v>13</v>
      </c>
      <c r="F254" s="4" t="s">
        <v>13</v>
      </c>
      <c r="G254" s="4" t="s">
        <v>13</v>
      </c>
      <c r="H254" s="4" t="s">
        <v>13</v>
      </c>
      <c r="I254" s="4" t="s">
        <v>13</v>
      </c>
      <c r="J254" s="3"/>
      <c r="K254" s="3" t="s">
        <v>121</v>
      </c>
      <c r="M254">
        <f>+COUNT(Table1[[#This Row],[Need]:[Overall]])</f>
        <v>0</v>
      </c>
    </row>
    <row r="255" spans="1:13" hidden="1" x14ac:dyDescent="0.2">
      <c r="A255" s="2" t="s">
        <v>43</v>
      </c>
      <c r="B255" s="2" t="s">
        <v>44</v>
      </c>
      <c r="C255" s="4">
        <v>5</v>
      </c>
      <c r="D255" s="4">
        <v>5</v>
      </c>
      <c r="E255" s="4">
        <v>5</v>
      </c>
      <c r="F255" s="4">
        <v>5</v>
      </c>
      <c r="G255" s="4">
        <v>5</v>
      </c>
      <c r="H255" s="4">
        <v>5</v>
      </c>
      <c r="I255" s="4">
        <v>5</v>
      </c>
      <c r="J255" s="4">
        <v>35</v>
      </c>
      <c r="K255" s="4">
        <v>100</v>
      </c>
      <c r="M255">
        <f>+COUNT(Table1[[#This Row],[Need]:[Overall]])</f>
        <v>7</v>
      </c>
    </row>
    <row r="256" spans="1:13" hidden="1" x14ac:dyDescent="0.2">
      <c r="A256" s="2" t="s">
        <v>43</v>
      </c>
      <c r="B256" s="2" t="s">
        <v>44</v>
      </c>
      <c r="C256" s="4">
        <v>5</v>
      </c>
      <c r="D256" s="4">
        <v>5</v>
      </c>
      <c r="E256" s="4">
        <v>5</v>
      </c>
      <c r="F256" s="4">
        <v>5</v>
      </c>
      <c r="G256" s="4">
        <v>4</v>
      </c>
      <c r="H256" s="4">
        <v>5</v>
      </c>
      <c r="I256" s="4">
        <v>5</v>
      </c>
      <c r="J256" s="4">
        <v>34</v>
      </c>
      <c r="K256" s="4">
        <v>97.142857142857096</v>
      </c>
      <c r="M256">
        <f>+COUNT(Table1[[#This Row],[Need]:[Overall]])</f>
        <v>7</v>
      </c>
    </row>
    <row r="257" spans="1:13" hidden="1" x14ac:dyDescent="0.2">
      <c r="A257" s="2" t="s">
        <v>24</v>
      </c>
      <c r="B257" s="2" t="s">
        <v>45</v>
      </c>
      <c r="C257" s="4">
        <v>4</v>
      </c>
      <c r="D257" s="4">
        <v>5</v>
      </c>
      <c r="E257" s="4">
        <v>4</v>
      </c>
      <c r="F257" s="4">
        <v>5</v>
      </c>
      <c r="G257" s="4">
        <v>4</v>
      </c>
      <c r="H257" s="4">
        <v>4</v>
      </c>
      <c r="I257" s="4">
        <v>4</v>
      </c>
      <c r="J257" s="4">
        <v>30</v>
      </c>
      <c r="K257" s="4">
        <v>85.714285714285694</v>
      </c>
      <c r="M257">
        <f>+COUNT(Table1[[#This Row],[Need]:[Overall]])</f>
        <v>7</v>
      </c>
    </row>
    <row r="258" spans="1:13" hidden="1" x14ac:dyDescent="0.2">
      <c r="A258" s="2" t="s">
        <v>24</v>
      </c>
      <c r="B258" s="2" t="s">
        <v>45</v>
      </c>
      <c r="C258" s="4">
        <v>5</v>
      </c>
      <c r="D258" s="4">
        <v>4</v>
      </c>
      <c r="E258" s="4">
        <v>4</v>
      </c>
      <c r="F258" s="4">
        <v>4</v>
      </c>
      <c r="G258" s="4">
        <v>5</v>
      </c>
      <c r="H258" s="4">
        <v>4</v>
      </c>
      <c r="I258" s="4">
        <v>4</v>
      </c>
      <c r="J258" s="4">
        <v>30</v>
      </c>
      <c r="K258" s="4">
        <v>85.714285714285694</v>
      </c>
      <c r="M258">
        <f>+COUNT(Table1[[#This Row],[Need]:[Overall]])</f>
        <v>7</v>
      </c>
    </row>
    <row r="259" spans="1:13" hidden="1" x14ac:dyDescent="0.2">
      <c r="A259" s="2" t="s">
        <v>24</v>
      </c>
      <c r="B259" s="2" t="s">
        <v>45</v>
      </c>
      <c r="C259" s="4">
        <v>5</v>
      </c>
      <c r="D259" s="4">
        <v>4</v>
      </c>
      <c r="E259" s="4">
        <v>4</v>
      </c>
      <c r="F259" s="4">
        <v>5</v>
      </c>
      <c r="G259" s="4">
        <v>5</v>
      </c>
      <c r="H259" s="4">
        <v>5</v>
      </c>
      <c r="I259" s="4">
        <v>5</v>
      </c>
      <c r="J259" s="4">
        <v>33</v>
      </c>
      <c r="K259" s="4">
        <v>94.285714285714306</v>
      </c>
      <c r="M259">
        <f>+COUNT(Table1[[#This Row],[Need]:[Overall]])</f>
        <v>7</v>
      </c>
    </row>
    <row r="260" spans="1:13" hidden="1" x14ac:dyDescent="0.2">
      <c r="A260" s="2" t="s">
        <v>24</v>
      </c>
      <c r="B260" s="2" t="s">
        <v>45</v>
      </c>
      <c r="C260" s="4">
        <v>3</v>
      </c>
      <c r="D260" s="4">
        <v>3</v>
      </c>
      <c r="E260" s="4">
        <v>3</v>
      </c>
      <c r="F260" s="4">
        <v>3</v>
      </c>
      <c r="G260" s="4">
        <v>3</v>
      </c>
      <c r="H260" s="4">
        <v>3</v>
      </c>
      <c r="I260" s="4">
        <v>3</v>
      </c>
      <c r="J260" s="4">
        <v>21</v>
      </c>
      <c r="K260" s="4">
        <v>60</v>
      </c>
      <c r="M260">
        <f>+COUNT(Table1[[#This Row],[Need]:[Overall]])</f>
        <v>7</v>
      </c>
    </row>
    <row r="261" spans="1:13" hidden="1" x14ac:dyDescent="0.2">
      <c r="A261" s="2" t="s">
        <v>24</v>
      </c>
      <c r="B261" s="2" t="s">
        <v>45</v>
      </c>
      <c r="C261" s="4">
        <v>5</v>
      </c>
      <c r="D261" s="4">
        <v>5</v>
      </c>
      <c r="E261" s="4">
        <v>5</v>
      </c>
      <c r="F261" s="4">
        <v>5</v>
      </c>
      <c r="G261" s="4">
        <v>4</v>
      </c>
      <c r="H261" s="4">
        <v>4</v>
      </c>
      <c r="I261" s="4">
        <v>5</v>
      </c>
      <c r="J261" s="4">
        <v>33</v>
      </c>
      <c r="K261" s="4">
        <v>94.285714285714306</v>
      </c>
      <c r="M261">
        <f>+COUNT(Table1[[#This Row],[Need]:[Overall]])</f>
        <v>7</v>
      </c>
    </row>
    <row r="262" spans="1:13" hidden="1" x14ac:dyDescent="0.2">
      <c r="A262" s="2" t="s">
        <v>24</v>
      </c>
      <c r="B262" s="2" t="s">
        <v>45</v>
      </c>
      <c r="C262" s="4">
        <v>3</v>
      </c>
      <c r="D262" s="4">
        <v>4</v>
      </c>
      <c r="E262" s="4">
        <v>4</v>
      </c>
      <c r="F262" s="4">
        <v>4</v>
      </c>
      <c r="G262" s="4">
        <v>3</v>
      </c>
      <c r="H262" s="4">
        <v>4</v>
      </c>
      <c r="I262" s="4">
        <v>4</v>
      </c>
      <c r="J262" s="4">
        <v>26</v>
      </c>
      <c r="K262" s="4">
        <v>74.285714285714306</v>
      </c>
      <c r="M262">
        <f>+COUNT(Table1[[#This Row],[Need]:[Overall]])</f>
        <v>7</v>
      </c>
    </row>
    <row r="263" spans="1:13" hidden="1" x14ac:dyDescent="0.2">
      <c r="A263" s="2" t="s">
        <v>24</v>
      </c>
      <c r="B263" s="2" t="s">
        <v>45</v>
      </c>
      <c r="C263" s="4">
        <v>5</v>
      </c>
      <c r="D263" s="4">
        <v>3</v>
      </c>
      <c r="E263" s="4">
        <v>4</v>
      </c>
      <c r="F263" s="4">
        <v>3</v>
      </c>
      <c r="G263" s="4">
        <v>5</v>
      </c>
      <c r="H263" s="4">
        <v>3</v>
      </c>
      <c r="I263" s="4">
        <v>4</v>
      </c>
      <c r="J263" s="4">
        <v>27</v>
      </c>
      <c r="K263" s="4">
        <v>77.142857142857196</v>
      </c>
      <c r="M263">
        <f>+COUNT(Table1[[#This Row],[Need]:[Overall]])</f>
        <v>7</v>
      </c>
    </row>
    <row r="264" spans="1:13" hidden="1" x14ac:dyDescent="0.2">
      <c r="A264" s="2" t="s">
        <v>24</v>
      </c>
      <c r="B264" s="2" t="s">
        <v>45</v>
      </c>
      <c r="C264" s="4">
        <v>5</v>
      </c>
      <c r="D264" s="4">
        <v>5</v>
      </c>
      <c r="E264" s="4">
        <v>5</v>
      </c>
      <c r="F264" s="4">
        <v>5</v>
      </c>
      <c r="G264" s="4">
        <v>5</v>
      </c>
      <c r="H264" s="4">
        <v>4</v>
      </c>
      <c r="I264" s="4">
        <v>5</v>
      </c>
      <c r="J264" s="4">
        <v>34</v>
      </c>
      <c r="K264" s="4">
        <v>97.142857142857096</v>
      </c>
      <c r="M264">
        <f>+COUNT(Table1[[#This Row],[Need]:[Overall]])</f>
        <v>7</v>
      </c>
    </row>
    <row r="265" spans="1:13" hidden="1" x14ac:dyDescent="0.2">
      <c r="A265" s="2" t="s">
        <v>24</v>
      </c>
      <c r="B265" s="2" t="s">
        <v>45</v>
      </c>
      <c r="C265" s="4">
        <v>5</v>
      </c>
      <c r="D265" s="4">
        <v>5</v>
      </c>
      <c r="E265" s="4">
        <v>5</v>
      </c>
      <c r="F265" s="4">
        <v>5</v>
      </c>
      <c r="G265" s="4">
        <v>5</v>
      </c>
      <c r="H265" s="4">
        <v>5</v>
      </c>
      <c r="I265" s="4">
        <v>5</v>
      </c>
      <c r="J265" s="4">
        <v>35</v>
      </c>
      <c r="K265" s="4">
        <v>100</v>
      </c>
      <c r="M265">
        <f>+COUNT(Table1[[#This Row],[Need]:[Overall]])</f>
        <v>7</v>
      </c>
    </row>
    <row r="266" spans="1:13" hidden="1" x14ac:dyDescent="0.2">
      <c r="A266" s="2" t="s">
        <v>24</v>
      </c>
      <c r="B266" s="2" t="s">
        <v>45</v>
      </c>
      <c r="C266" s="4">
        <v>5</v>
      </c>
      <c r="D266" s="4">
        <v>5</v>
      </c>
      <c r="E266" s="4">
        <v>5</v>
      </c>
      <c r="F266" s="4">
        <v>5</v>
      </c>
      <c r="G266" s="4">
        <v>5</v>
      </c>
      <c r="H266" s="4">
        <v>5</v>
      </c>
      <c r="I266" s="4">
        <v>5</v>
      </c>
      <c r="J266" s="4">
        <v>35</v>
      </c>
      <c r="K266" s="4">
        <v>100</v>
      </c>
      <c r="M266">
        <f>+COUNT(Table1[[#This Row],[Need]:[Overall]])</f>
        <v>7</v>
      </c>
    </row>
    <row r="267" spans="1:13" hidden="1" x14ac:dyDescent="0.2">
      <c r="A267" s="2" t="s">
        <v>24</v>
      </c>
      <c r="B267" s="2" t="s">
        <v>45</v>
      </c>
      <c r="C267" s="4">
        <v>5</v>
      </c>
      <c r="D267" s="4">
        <v>5</v>
      </c>
      <c r="E267" s="4">
        <v>5</v>
      </c>
      <c r="F267" s="4">
        <v>5</v>
      </c>
      <c r="G267" s="4">
        <v>5</v>
      </c>
      <c r="H267" s="4">
        <v>4</v>
      </c>
      <c r="I267" s="4">
        <v>5</v>
      </c>
      <c r="J267" s="4">
        <v>34</v>
      </c>
      <c r="K267" s="4">
        <v>97.142857142857096</v>
      </c>
      <c r="M267">
        <f>+COUNT(Table1[[#This Row],[Need]:[Overall]])</f>
        <v>7</v>
      </c>
    </row>
    <row r="268" spans="1:13" hidden="1" x14ac:dyDescent="0.2">
      <c r="A268" s="2" t="s">
        <v>24</v>
      </c>
      <c r="B268" s="2" t="s">
        <v>45</v>
      </c>
      <c r="C268" s="4">
        <v>5</v>
      </c>
      <c r="D268" s="4">
        <v>5</v>
      </c>
      <c r="E268" s="4">
        <v>5</v>
      </c>
      <c r="F268" s="4">
        <v>5</v>
      </c>
      <c r="G268" s="4">
        <v>5</v>
      </c>
      <c r="H268" s="4">
        <v>4</v>
      </c>
      <c r="I268" s="4">
        <v>5</v>
      </c>
      <c r="J268" s="4">
        <v>34</v>
      </c>
      <c r="K268" s="4">
        <v>97.142857142857096</v>
      </c>
      <c r="M268">
        <f>+COUNT(Table1[[#This Row],[Need]:[Overall]])</f>
        <v>7</v>
      </c>
    </row>
    <row r="269" spans="1:13" hidden="1" x14ac:dyDescent="0.2">
      <c r="A269" s="2" t="s">
        <v>24</v>
      </c>
      <c r="B269" s="2" t="s">
        <v>45</v>
      </c>
      <c r="C269" s="4" t="s">
        <v>13</v>
      </c>
      <c r="D269" s="4" t="s">
        <v>13</v>
      </c>
      <c r="E269" s="4" t="s">
        <v>13</v>
      </c>
      <c r="F269" s="4" t="s">
        <v>13</v>
      </c>
      <c r="G269" s="4" t="s">
        <v>13</v>
      </c>
      <c r="H269" s="4" t="s">
        <v>13</v>
      </c>
      <c r="I269" s="4" t="s">
        <v>13</v>
      </c>
      <c r="J269" s="3"/>
      <c r="K269" s="3" t="s">
        <v>121</v>
      </c>
      <c r="M269">
        <f>+COUNT(Table1[[#This Row],[Need]:[Overall]])</f>
        <v>0</v>
      </c>
    </row>
    <row r="270" spans="1:13" hidden="1" x14ac:dyDescent="0.2">
      <c r="A270" s="2" t="s">
        <v>24</v>
      </c>
      <c r="B270" s="2" t="s">
        <v>45</v>
      </c>
      <c r="C270" s="4">
        <v>5</v>
      </c>
      <c r="D270" s="4">
        <v>5</v>
      </c>
      <c r="E270" s="4">
        <v>5</v>
      </c>
      <c r="F270" s="4">
        <v>5</v>
      </c>
      <c r="G270" s="4">
        <v>5</v>
      </c>
      <c r="H270" s="4">
        <v>5</v>
      </c>
      <c r="I270" s="4">
        <v>5</v>
      </c>
      <c r="J270" s="4">
        <v>35</v>
      </c>
      <c r="K270" s="4">
        <v>100</v>
      </c>
      <c r="M270">
        <f>+COUNT(Table1[[#This Row],[Need]:[Overall]])</f>
        <v>7</v>
      </c>
    </row>
    <row r="271" spans="1:13" hidden="1" x14ac:dyDescent="0.2">
      <c r="A271" s="2" t="s">
        <v>24</v>
      </c>
      <c r="B271" s="2" t="s">
        <v>45</v>
      </c>
      <c r="C271" s="4">
        <v>5</v>
      </c>
      <c r="D271" s="4">
        <v>5</v>
      </c>
      <c r="E271" s="4">
        <v>5</v>
      </c>
      <c r="F271" s="4">
        <v>5</v>
      </c>
      <c r="G271" s="4">
        <v>5</v>
      </c>
      <c r="H271" s="4">
        <v>5</v>
      </c>
      <c r="I271" s="4">
        <v>5</v>
      </c>
      <c r="J271" s="4">
        <v>35</v>
      </c>
      <c r="K271" s="4">
        <v>100</v>
      </c>
      <c r="M271">
        <f>+COUNT(Table1[[#This Row],[Need]:[Overall]])</f>
        <v>7</v>
      </c>
    </row>
    <row r="272" spans="1:13" hidden="1" x14ac:dyDescent="0.2">
      <c r="A272" s="2" t="s">
        <v>43</v>
      </c>
      <c r="B272" s="2" t="s">
        <v>46</v>
      </c>
      <c r="C272" s="4">
        <v>5</v>
      </c>
      <c r="D272" s="4">
        <v>4</v>
      </c>
      <c r="E272" s="4">
        <v>5</v>
      </c>
      <c r="F272" s="4">
        <v>5</v>
      </c>
      <c r="G272" s="4">
        <v>4</v>
      </c>
      <c r="H272" s="4">
        <v>5</v>
      </c>
      <c r="I272" s="4">
        <v>5</v>
      </c>
      <c r="J272" s="4">
        <v>33</v>
      </c>
      <c r="K272" s="4">
        <v>94.285714285714306</v>
      </c>
      <c r="M272">
        <f>+COUNT(Table1[[#This Row],[Need]:[Overall]])</f>
        <v>7</v>
      </c>
    </row>
    <row r="273" spans="1:13" hidden="1" x14ac:dyDescent="0.2">
      <c r="A273" s="2" t="s">
        <v>43</v>
      </c>
      <c r="B273" s="2" t="s">
        <v>46</v>
      </c>
      <c r="C273" s="4">
        <v>5</v>
      </c>
      <c r="D273" s="4">
        <v>5</v>
      </c>
      <c r="E273" s="4">
        <v>5</v>
      </c>
      <c r="F273" s="4">
        <v>5</v>
      </c>
      <c r="G273" s="4">
        <v>5</v>
      </c>
      <c r="H273" s="4">
        <v>5</v>
      </c>
      <c r="I273" s="4">
        <v>5</v>
      </c>
      <c r="J273" s="4">
        <v>35</v>
      </c>
      <c r="K273" s="4">
        <v>100</v>
      </c>
      <c r="M273">
        <f>+COUNT(Table1[[#This Row],[Need]:[Overall]])</f>
        <v>7</v>
      </c>
    </row>
    <row r="274" spans="1:13" hidden="1" x14ac:dyDescent="0.2">
      <c r="A274" s="2" t="s">
        <v>43</v>
      </c>
      <c r="B274" s="2" t="s">
        <v>46</v>
      </c>
      <c r="C274" s="4">
        <v>4</v>
      </c>
      <c r="D274" s="4">
        <v>4</v>
      </c>
      <c r="E274" s="4">
        <v>4</v>
      </c>
      <c r="F274" s="4">
        <v>5</v>
      </c>
      <c r="G274" s="4">
        <v>4</v>
      </c>
      <c r="H274" s="4">
        <v>4</v>
      </c>
      <c r="I274" s="4">
        <v>5</v>
      </c>
      <c r="J274" s="4">
        <v>30</v>
      </c>
      <c r="K274" s="4">
        <v>85.714285714285694</v>
      </c>
      <c r="M274">
        <f>+COUNT(Table1[[#This Row],[Need]:[Overall]])</f>
        <v>7</v>
      </c>
    </row>
    <row r="275" spans="1:13" hidden="1" x14ac:dyDescent="0.2">
      <c r="A275" s="2" t="s">
        <v>43</v>
      </c>
      <c r="B275" s="2" t="s">
        <v>46</v>
      </c>
      <c r="C275" s="4">
        <v>3</v>
      </c>
      <c r="D275" s="4">
        <v>3</v>
      </c>
      <c r="E275" s="4">
        <v>3</v>
      </c>
      <c r="F275" s="4">
        <v>3</v>
      </c>
      <c r="G275" s="4">
        <v>4</v>
      </c>
      <c r="H275" s="4">
        <v>3</v>
      </c>
      <c r="I275" s="4">
        <v>3</v>
      </c>
      <c r="J275" s="4">
        <v>22</v>
      </c>
      <c r="K275" s="4">
        <v>62.857142857142897</v>
      </c>
      <c r="M275">
        <f>+COUNT(Table1[[#This Row],[Need]:[Overall]])</f>
        <v>7</v>
      </c>
    </row>
    <row r="276" spans="1:13" hidden="1" x14ac:dyDescent="0.2">
      <c r="A276" s="2" t="s">
        <v>43</v>
      </c>
      <c r="B276" s="2" t="s">
        <v>46</v>
      </c>
      <c r="C276" s="4" t="s">
        <v>13</v>
      </c>
      <c r="D276" s="4" t="s">
        <v>13</v>
      </c>
      <c r="E276" s="4" t="s">
        <v>13</v>
      </c>
      <c r="F276" s="4" t="s">
        <v>13</v>
      </c>
      <c r="G276" s="4" t="s">
        <v>13</v>
      </c>
      <c r="H276" s="4" t="s">
        <v>13</v>
      </c>
      <c r="I276" s="4" t="s">
        <v>13</v>
      </c>
      <c r="J276" s="3"/>
      <c r="K276" s="3" t="s">
        <v>121</v>
      </c>
      <c r="M276">
        <f>+COUNT(Table1[[#This Row],[Need]:[Overall]])</f>
        <v>0</v>
      </c>
    </row>
    <row r="277" spans="1:13" hidden="1" x14ac:dyDescent="0.2">
      <c r="A277" s="2" t="s">
        <v>43</v>
      </c>
      <c r="B277" s="2" t="s">
        <v>46</v>
      </c>
      <c r="C277" s="4">
        <v>4</v>
      </c>
      <c r="D277" s="4">
        <v>4</v>
      </c>
      <c r="E277" s="4">
        <v>4</v>
      </c>
      <c r="F277" s="4">
        <v>4</v>
      </c>
      <c r="G277" s="4">
        <v>3</v>
      </c>
      <c r="H277" s="4">
        <v>3</v>
      </c>
      <c r="I277" s="4">
        <v>3</v>
      </c>
      <c r="J277" s="4">
        <v>25</v>
      </c>
      <c r="K277" s="4">
        <v>71.428571428571402</v>
      </c>
      <c r="M277">
        <f>+COUNT(Table1[[#This Row],[Need]:[Overall]])</f>
        <v>7</v>
      </c>
    </row>
    <row r="278" spans="1:13" hidden="1" x14ac:dyDescent="0.2">
      <c r="A278" s="2" t="s">
        <v>43</v>
      </c>
      <c r="B278" s="2" t="s">
        <v>46</v>
      </c>
      <c r="C278" s="4">
        <v>5</v>
      </c>
      <c r="D278" s="4">
        <v>5</v>
      </c>
      <c r="E278" s="4">
        <v>5</v>
      </c>
      <c r="F278" s="4">
        <v>5</v>
      </c>
      <c r="G278" s="4">
        <v>5</v>
      </c>
      <c r="H278" s="4">
        <v>5</v>
      </c>
      <c r="I278" s="4">
        <v>5</v>
      </c>
      <c r="J278" s="4">
        <v>35</v>
      </c>
      <c r="K278" s="4">
        <v>100</v>
      </c>
      <c r="M278">
        <f>+COUNT(Table1[[#This Row],[Need]:[Overall]])</f>
        <v>7</v>
      </c>
    </row>
    <row r="279" spans="1:13" hidden="1" x14ac:dyDescent="0.2">
      <c r="A279" s="2" t="s">
        <v>43</v>
      </c>
      <c r="B279" s="2" t="s">
        <v>46</v>
      </c>
      <c r="C279" s="4">
        <v>4</v>
      </c>
      <c r="D279" s="4">
        <v>3</v>
      </c>
      <c r="E279" s="4">
        <v>3</v>
      </c>
      <c r="F279" s="4">
        <v>4</v>
      </c>
      <c r="G279" s="4">
        <v>3</v>
      </c>
      <c r="H279" s="4">
        <v>4</v>
      </c>
      <c r="I279" s="4">
        <v>4</v>
      </c>
      <c r="J279" s="4">
        <v>25</v>
      </c>
      <c r="K279" s="4">
        <v>71.428571428571402</v>
      </c>
      <c r="M279">
        <f>+COUNT(Table1[[#This Row],[Need]:[Overall]])</f>
        <v>7</v>
      </c>
    </row>
    <row r="280" spans="1:13" hidden="1" x14ac:dyDescent="0.2">
      <c r="A280" s="2" t="s">
        <v>43</v>
      </c>
      <c r="B280" s="2" t="s">
        <v>46</v>
      </c>
      <c r="C280" s="4">
        <v>5</v>
      </c>
      <c r="D280" s="4">
        <v>5</v>
      </c>
      <c r="E280" s="4">
        <v>5</v>
      </c>
      <c r="F280" s="4">
        <v>5</v>
      </c>
      <c r="G280" s="4">
        <v>5</v>
      </c>
      <c r="H280" s="4">
        <v>5</v>
      </c>
      <c r="I280" s="4">
        <v>5</v>
      </c>
      <c r="J280" s="4">
        <v>35</v>
      </c>
      <c r="K280" s="4">
        <v>100</v>
      </c>
      <c r="M280">
        <f>+COUNT(Table1[[#This Row],[Need]:[Overall]])</f>
        <v>7</v>
      </c>
    </row>
    <row r="281" spans="1:13" hidden="1" x14ac:dyDescent="0.2">
      <c r="A281" s="2" t="s">
        <v>43</v>
      </c>
      <c r="B281" s="2" t="s">
        <v>46</v>
      </c>
      <c r="C281" s="4">
        <v>5</v>
      </c>
      <c r="D281" s="4">
        <v>5</v>
      </c>
      <c r="E281" s="4">
        <v>5</v>
      </c>
      <c r="F281" s="4">
        <v>5</v>
      </c>
      <c r="G281" s="4">
        <v>4</v>
      </c>
      <c r="H281" s="4">
        <v>5</v>
      </c>
      <c r="I281" s="4">
        <v>5</v>
      </c>
      <c r="J281" s="4">
        <v>34</v>
      </c>
      <c r="K281" s="4">
        <v>97.142857142857096</v>
      </c>
      <c r="M281">
        <f>+COUNT(Table1[[#This Row],[Need]:[Overall]])</f>
        <v>7</v>
      </c>
    </row>
    <row r="282" spans="1:13" hidden="1" x14ac:dyDescent="0.2">
      <c r="A282" s="2" t="s">
        <v>43</v>
      </c>
      <c r="B282" s="2" t="s">
        <v>46</v>
      </c>
      <c r="C282" s="4">
        <v>5</v>
      </c>
      <c r="D282" s="4">
        <v>4</v>
      </c>
      <c r="E282" s="4">
        <v>4</v>
      </c>
      <c r="F282" s="4">
        <v>5</v>
      </c>
      <c r="G282" s="4">
        <v>4</v>
      </c>
      <c r="H282" s="4">
        <v>4</v>
      </c>
      <c r="I282" s="4">
        <v>5</v>
      </c>
      <c r="J282" s="4">
        <v>31</v>
      </c>
      <c r="K282" s="4">
        <v>88.571428571428598</v>
      </c>
      <c r="M282">
        <f>+COUNT(Table1[[#This Row],[Need]:[Overall]])</f>
        <v>7</v>
      </c>
    </row>
    <row r="283" spans="1:13" hidden="1" x14ac:dyDescent="0.2">
      <c r="A283" s="2" t="s">
        <v>43</v>
      </c>
      <c r="B283" s="2" t="s">
        <v>46</v>
      </c>
      <c r="C283" s="4">
        <v>5</v>
      </c>
      <c r="D283" s="4">
        <v>4</v>
      </c>
      <c r="E283" s="4">
        <v>4</v>
      </c>
      <c r="F283" s="4">
        <v>5</v>
      </c>
      <c r="G283" s="4">
        <v>5</v>
      </c>
      <c r="H283" s="4">
        <v>5</v>
      </c>
      <c r="I283" s="4">
        <v>5</v>
      </c>
      <c r="J283" s="4">
        <v>33</v>
      </c>
      <c r="K283" s="4">
        <v>94.285714285714306</v>
      </c>
      <c r="M283">
        <f>+COUNT(Table1[[#This Row],[Need]:[Overall]])</f>
        <v>7</v>
      </c>
    </row>
    <row r="284" spans="1:13" hidden="1" x14ac:dyDescent="0.2">
      <c r="A284" s="2" t="s">
        <v>43</v>
      </c>
      <c r="B284" s="2" t="s">
        <v>46</v>
      </c>
      <c r="C284" s="4" t="s">
        <v>13</v>
      </c>
      <c r="D284" s="4" t="s">
        <v>13</v>
      </c>
      <c r="E284" s="4" t="s">
        <v>13</v>
      </c>
      <c r="F284" s="4" t="s">
        <v>13</v>
      </c>
      <c r="G284" s="4" t="s">
        <v>13</v>
      </c>
      <c r="H284" s="4" t="s">
        <v>13</v>
      </c>
      <c r="I284" s="4" t="s">
        <v>13</v>
      </c>
      <c r="J284" s="3"/>
      <c r="K284" s="3" t="s">
        <v>121</v>
      </c>
      <c r="M284">
        <f>+COUNT(Table1[[#This Row],[Need]:[Overall]])</f>
        <v>0</v>
      </c>
    </row>
    <row r="285" spans="1:13" hidden="1" x14ac:dyDescent="0.2">
      <c r="A285" s="2" t="s">
        <v>43</v>
      </c>
      <c r="B285" s="2" t="s">
        <v>46</v>
      </c>
      <c r="C285" s="4">
        <v>5</v>
      </c>
      <c r="D285" s="4">
        <v>4</v>
      </c>
      <c r="E285" s="4">
        <v>4</v>
      </c>
      <c r="F285" s="4">
        <v>5</v>
      </c>
      <c r="G285" s="4">
        <v>5</v>
      </c>
      <c r="H285" s="4">
        <v>5</v>
      </c>
      <c r="I285" s="4">
        <v>5</v>
      </c>
      <c r="J285" s="4">
        <v>33</v>
      </c>
      <c r="K285" s="4">
        <v>94.285714285714306</v>
      </c>
      <c r="M285">
        <f>+COUNT(Table1[[#This Row],[Need]:[Overall]])</f>
        <v>7</v>
      </c>
    </row>
    <row r="286" spans="1:13" hidden="1" x14ac:dyDescent="0.2">
      <c r="A286" s="2" t="s">
        <v>43</v>
      </c>
      <c r="B286" s="2" t="s">
        <v>46</v>
      </c>
      <c r="C286" s="4">
        <v>5</v>
      </c>
      <c r="D286" s="4">
        <v>5</v>
      </c>
      <c r="E286" s="4">
        <v>5</v>
      </c>
      <c r="F286" s="4">
        <v>5</v>
      </c>
      <c r="G286" s="4">
        <v>4</v>
      </c>
      <c r="H286" s="4">
        <v>5</v>
      </c>
      <c r="I286" s="4">
        <v>5</v>
      </c>
      <c r="J286" s="4">
        <v>34</v>
      </c>
      <c r="K286" s="4">
        <v>97.142857142857096</v>
      </c>
      <c r="M286">
        <f>+COUNT(Table1[[#This Row],[Need]:[Overall]])</f>
        <v>7</v>
      </c>
    </row>
    <row r="287" spans="1:13" hidden="1" x14ac:dyDescent="0.2">
      <c r="A287" s="2" t="s">
        <v>24</v>
      </c>
      <c r="B287" s="2" t="s">
        <v>47</v>
      </c>
      <c r="C287" s="4">
        <v>4</v>
      </c>
      <c r="D287" s="4">
        <v>3</v>
      </c>
      <c r="E287" s="4">
        <v>3</v>
      </c>
      <c r="F287" s="4">
        <v>4</v>
      </c>
      <c r="G287" s="4">
        <v>4</v>
      </c>
      <c r="H287" s="4">
        <v>4</v>
      </c>
      <c r="I287" s="4">
        <v>4</v>
      </c>
      <c r="J287" s="4">
        <v>26</v>
      </c>
      <c r="K287" s="4">
        <v>74.285714285714306</v>
      </c>
      <c r="M287">
        <f>+COUNT(Table1[[#This Row],[Need]:[Overall]])</f>
        <v>7</v>
      </c>
    </row>
    <row r="288" spans="1:13" hidden="1" x14ac:dyDescent="0.2">
      <c r="A288" s="2" t="s">
        <v>24</v>
      </c>
      <c r="B288" s="2" t="s">
        <v>47</v>
      </c>
      <c r="C288" s="4">
        <v>5</v>
      </c>
      <c r="D288" s="4">
        <v>5</v>
      </c>
      <c r="E288" s="4">
        <v>5</v>
      </c>
      <c r="F288" s="4">
        <v>5</v>
      </c>
      <c r="G288" s="4">
        <v>5</v>
      </c>
      <c r="H288" s="4">
        <v>5</v>
      </c>
      <c r="I288" s="4">
        <v>5</v>
      </c>
      <c r="J288" s="4">
        <v>35</v>
      </c>
      <c r="K288" s="4">
        <v>100</v>
      </c>
      <c r="M288">
        <f>+COUNT(Table1[[#This Row],[Need]:[Overall]])</f>
        <v>7</v>
      </c>
    </row>
    <row r="289" spans="1:13" hidden="1" x14ac:dyDescent="0.2">
      <c r="A289" s="2" t="s">
        <v>24</v>
      </c>
      <c r="B289" s="2" t="s">
        <v>47</v>
      </c>
      <c r="C289" s="4">
        <v>5</v>
      </c>
      <c r="D289" s="4">
        <v>5</v>
      </c>
      <c r="E289" s="4">
        <v>4</v>
      </c>
      <c r="F289" s="4">
        <v>5</v>
      </c>
      <c r="G289" s="4">
        <v>5</v>
      </c>
      <c r="H289" s="4">
        <v>5</v>
      </c>
      <c r="I289" s="4">
        <v>5</v>
      </c>
      <c r="J289" s="4">
        <v>34</v>
      </c>
      <c r="K289" s="4">
        <v>97.142857142857096</v>
      </c>
      <c r="M289">
        <f>+COUNT(Table1[[#This Row],[Need]:[Overall]])</f>
        <v>7</v>
      </c>
    </row>
    <row r="290" spans="1:13" hidden="1" x14ac:dyDescent="0.2">
      <c r="A290" s="2" t="s">
        <v>24</v>
      </c>
      <c r="B290" s="2" t="s">
        <v>47</v>
      </c>
      <c r="C290" s="4">
        <v>3</v>
      </c>
      <c r="D290" s="4">
        <v>3</v>
      </c>
      <c r="E290" s="4">
        <v>3</v>
      </c>
      <c r="F290" s="4">
        <v>4</v>
      </c>
      <c r="G290" s="4">
        <v>4</v>
      </c>
      <c r="H290" s="4">
        <v>3</v>
      </c>
      <c r="I290" s="4">
        <v>3</v>
      </c>
      <c r="J290" s="4">
        <v>23</v>
      </c>
      <c r="K290" s="4">
        <v>65.714285714285694</v>
      </c>
      <c r="M290">
        <f>+COUNT(Table1[[#This Row],[Need]:[Overall]])</f>
        <v>7</v>
      </c>
    </row>
    <row r="291" spans="1:13" hidden="1" x14ac:dyDescent="0.2">
      <c r="A291" s="2" t="s">
        <v>24</v>
      </c>
      <c r="B291" s="2" t="s">
        <v>47</v>
      </c>
      <c r="C291" s="4">
        <v>5</v>
      </c>
      <c r="D291" s="4">
        <v>5</v>
      </c>
      <c r="E291" s="4">
        <v>5</v>
      </c>
      <c r="F291" s="4">
        <v>5</v>
      </c>
      <c r="G291" s="4">
        <v>5</v>
      </c>
      <c r="H291" s="4">
        <v>5</v>
      </c>
      <c r="I291" s="4">
        <v>5</v>
      </c>
      <c r="J291" s="4">
        <v>35</v>
      </c>
      <c r="K291" s="4">
        <v>100</v>
      </c>
      <c r="M291">
        <f>+COUNT(Table1[[#This Row],[Need]:[Overall]])</f>
        <v>7</v>
      </c>
    </row>
    <row r="292" spans="1:13" hidden="1" x14ac:dyDescent="0.2">
      <c r="A292" s="2" t="s">
        <v>24</v>
      </c>
      <c r="B292" s="2" t="s">
        <v>47</v>
      </c>
      <c r="C292" s="4">
        <v>3</v>
      </c>
      <c r="D292" s="4">
        <v>4</v>
      </c>
      <c r="E292" s="4">
        <v>4</v>
      </c>
      <c r="F292" s="4">
        <v>4</v>
      </c>
      <c r="G292" s="4">
        <v>3</v>
      </c>
      <c r="H292" s="4">
        <v>4</v>
      </c>
      <c r="I292" s="4">
        <v>4</v>
      </c>
      <c r="J292" s="4">
        <v>26</v>
      </c>
      <c r="K292" s="4">
        <v>74.285714285714306</v>
      </c>
      <c r="M292">
        <f>+COUNT(Table1[[#This Row],[Need]:[Overall]])</f>
        <v>7</v>
      </c>
    </row>
    <row r="293" spans="1:13" hidden="1" x14ac:dyDescent="0.2">
      <c r="A293" s="2" t="s">
        <v>24</v>
      </c>
      <c r="B293" s="2" t="s">
        <v>47</v>
      </c>
      <c r="C293" s="4">
        <v>4</v>
      </c>
      <c r="D293" s="4">
        <v>4</v>
      </c>
      <c r="E293" s="4">
        <v>4</v>
      </c>
      <c r="F293" s="4">
        <v>4</v>
      </c>
      <c r="G293" s="4">
        <v>5</v>
      </c>
      <c r="H293" s="4">
        <v>4</v>
      </c>
      <c r="I293" s="4">
        <v>4</v>
      </c>
      <c r="J293" s="4">
        <v>29</v>
      </c>
      <c r="K293" s="4">
        <v>82.857142857142904</v>
      </c>
      <c r="M293">
        <f>+COUNT(Table1[[#This Row],[Need]:[Overall]])</f>
        <v>7</v>
      </c>
    </row>
    <row r="294" spans="1:13" hidden="1" x14ac:dyDescent="0.2">
      <c r="A294" s="2" t="s">
        <v>24</v>
      </c>
      <c r="B294" s="2" t="s">
        <v>47</v>
      </c>
      <c r="C294" s="4">
        <v>5</v>
      </c>
      <c r="D294" s="4">
        <v>5</v>
      </c>
      <c r="E294" s="4">
        <v>5</v>
      </c>
      <c r="F294" s="4">
        <v>5</v>
      </c>
      <c r="G294" s="4">
        <v>5</v>
      </c>
      <c r="H294" s="4">
        <v>5</v>
      </c>
      <c r="I294" s="4">
        <v>4</v>
      </c>
      <c r="J294" s="4">
        <v>34</v>
      </c>
      <c r="K294" s="4">
        <v>97.142857142857096</v>
      </c>
      <c r="M294">
        <f>+COUNT(Table1[[#This Row],[Need]:[Overall]])</f>
        <v>7</v>
      </c>
    </row>
    <row r="295" spans="1:13" hidden="1" x14ac:dyDescent="0.2">
      <c r="A295" s="2" t="s">
        <v>24</v>
      </c>
      <c r="B295" s="2" t="s">
        <v>47</v>
      </c>
      <c r="C295" s="4">
        <v>5</v>
      </c>
      <c r="D295" s="4">
        <v>5</v>
      </c>
      <c r="E295" s="4">
        <v>5</v>
      </c>
      <c r="F295" s="4">
        <v>5</v>
      </c>
      <c r="G295" s="4">
        <v>5</v>
      </c>
      <c r="H295" s="4">
        <v>5</v>
      </c>
      <c r="I295" s="4">
        <v>5</v>
      </c>
      <c r="J295" s="4">
        <v>35</v>
      </c>
      <c r="K295" s="4">
        <v>100</v>
      </c>
      <c r="M295">
        <f>+COUNT(Table1[[#This Row],[Need]:[Overall]])</f>
        <v>7</v>
      </c>
    </row>
    <row r="296" spans="1:13" hidden="1" x14ac:dyDescent="0.2">
      <c r="A296" s="2" t="s">
        <v>24</v>
      </c>
      <c r="B296" s="2" t="s">
        <v>47</v>
      </c>
      <c r="C296" s="4">
        <v>5</v>
      </c>
      <c r="D296" s="4">
        <v>5</v>
      </c>
      <c r="E296" s="4">
        <v>4</v>
      </c>
      <c r="F296" s="4">
        <v>5</v>
      </c>
      <c r="G296" s="4">
        <v>5</v>
      </c>
      <c r="H296" s="4">
        <v>5</v>
      </c>
      <c r="I296" s="4">
        <v>5</v>
      </c>
      <c r="J296" s="4">
        <v>34</v>
      </c>
      <c r="K296" s="4">
        <v>97.142857142857096</v>
      </c>
      <c r="M296">
        <f>+COUNT(Table1[[#This Row],[Need]:[Overall]])</f>
        <v>7</v>
      </c>
    </row>
    <row r="297" spans="1:13" hidden="1" x14ac:dyDescent="0.2">
      <c r="A297" s="2" t="s">
        <v>24</v>
      </c>
      <c r="B297" s="2" t="s">
        <v>47</v>
      </c>
      <c r="C297" s="4">
        <v>5</v>
      </c>
      <c r="D297" s="4">
        <v>5</v>
      </c>
      <c r="E297" s="4">
        <v>4</v>
      </c>
      <c r="F297" s="4">
        <v>5</v>
      </c>
      <c r="G297" s="4">
        <v>5</v>
      </c>
      <c r="H297" s="4">
        <v>5</v>
      </c>
      <c r="I297" s="4">
        <v>5</v>
      </c>
      <c r="J297" s="4">
        <v>34</v>
      </c>
      <c r="K297" s="4">
        <v>97.142857142857096</v>
      </c>
      <c r="M297">
        <f>+COUNT(Table1[[#This Row],[Need]:[Overall]])</f>
        <v>7</v>
      </c>
    </row>
    <row r="298" spans="1:13" hidden="1" x14ac:dyDescent="0.2">
      <c r="A298" s="2" t="s">
        <v>24</v>
      </c>
      <c r="B298" s="2" t="s">
        <v>47</v>
      </c>
      <c r="C298" s="4">
        <v>5</v>
      </c>
      <c r="D298" s="4">
        <v>4</v>
      </c>
      <c r="E298" s="4">
        <v>5</v>
      </c>
      <c r="F298" s="4">
        <v>5</v>
      </c>
      <c r="G298" s="4">
        <v>5</v>
      </c>
      <c r="H298" s="4">
        <v>4</v>
      </c>
      <c r="I298" s="4">
        <v>5</v>
      </c>
      <c r="J298" s="4">
        <v>33</v>
      </c>
      <c r="K298" s="4">
        <v>94.285714285714306</v>
      </c>
      <c r="M298">
        <f>+COUNT(Table1[[#This Row],[Need]:[Overall]])</f>
        <v>7</v>
      </c>
    </row>
    <row r="299" spans="1:13" hidden="1" x14ac:dyDescent="0.2">
      <c r="A299" s="2" t="s">
        <v>24</v>
      </c>
      <c r="B299" s="2" t="s">
        <v>47</v>
      </c>
      <c r="C299" s="4" t="s">
        <v>13</v>
      </c>
      <c r="D299" s="4" t="s">
        <v>13</v>
      </c>
      <c r="E299" s="4" t="s">
        <v>13</v>
      </c>
      <c r="F299" s="4" t="s">
        <v>13</v>
      </c>
      <c r="G299" s="4" t="s">
        <v>13</v>
      </c>
      <c r="H299" s="4" t="s">
        <v>13</v>
      </c>
      <c r="I299" s="4" t="s">
        <v>13</v>
      </c>
      <c r="J299" s="3"/>
      <c r="K299" s="3" t="s">
        <v>121</v>
      </c>
      <c r="M299">
        <f>+COUNT(Table1[[#This Row],[Need]:[Overall]])</f>
        <v>0</v>
      </c>
    </row>
    <row r="300" spans="1:13" hidden="1" x14ac:dyDescent="0.2">
      <c r="A300" s="2" t="s">
        <v>24</v>
      </c>
      <c r="B300" s="2" t="s">
        <v>47</v>
      </c>
      <c r="C300" s="4">
        <v>5</v>
      </c>
      <c r="D300" s="4">
        <v>5</v>
      </c>
      <c r="E300" s="4">
        <v>5</v>
      </c>
      <c r="F300" s="4">
        <v>5</v>
      </c>
      <c r="G300" s="4">
        <v>5</v>
      </c>
      <c r="H300" s="4">
        <v>5</v>
      </c>
      <c r="I300" s="4">
        <v>5</v>
      </c>
      <c r="J300" s="4">
        <v>35</v>
      </c>
      <c r="K300" s="4">
        <v>100</v>
      </c>
      <c r="M300">
        <f>+COUNT(Table1[[#This Row],[Need]:[Overall]])</f>
        <v>7</v>
      </c>
    </row>
    <row r="301" spans="1:13" hidden="1" x14ac:dyDescent="0.2">
      <c r="A301" s="2" t="s">
        <v>24</v>
      </c>
      <c r="B301" s="2" t="s">
        <v>47</v>
      </c>
      <c r="C301" s="4">
        <v>5</v>
      </c>
      <c r="D301" s="4">
        <v>5</v>
      </c>
      <c r="E301" s="4">
        <v>5</v>
      </c>
      <c r="F301" s="4">
        <v>5</v>
      </c>
      <c r="G301" s="4">
        <v>5</v>
      </c>
      <c r="H301" s="4">
        <v>5</v>
      </c>
      <c r="I301" s="4">
        <v>5</v>
      </c>
      <c r="J301" s="4">
        <v>35</v>
      </c>
      <c r="K301" s="4">
        <v>100</v>
      </c>
      <c r="M301">
        <f>+COUNT(Table1[[#This Row],[Need]:[Overall]])</f>
        <v>7</v>
      </c>
    </row>
    <row r="302" spans="1:13" hidden="1" x14ac:dyDescent="0.2">
      <c r="A302" s="2" t="s">
        <v>43</v>
      </c>
      <c r="B302" s="2" t="s">
        <v>48</v>
      </c>
      <c r="C302" s="4">
        <v>5</v>
      </c>
      <c r="D302" s="4">
        <v>4</v>
      </c>
      <c r="E302" s="4">
        <v>4</v>
      </c>
      <c r="F302" s="4">
        <v>5</v>
      </c>
      <c r="G302" s="4">
        <v>4</v>
      </c>
      <c r="H302" s="4">
        <v>5</v>
      </c>
      <c r="I302" s="4">
        <v>5</v>
      </c>
      <c r="J302" s="4">
        <v>32</v>
      </c>
      <c r="K302" s="4">
        <v>91.428571428571402</v>
      </c>
      <c r="M302">
        <f>+COUNT(Table1[[#This Row],[Need]:[Overall]])</f>
        <v>7</v>
      </c>
    </row>
    <row r="303" spans="1:13" hidden="1" x14ac:dyDescent="0.2">
      <c r="A303" s="2" t="s">
        <v>43</v>
      </c>
      <c r="B303" s="2" t="s">
        <v>48</v>
      </c>
      <c r="C303" s="4">
        <v>4</v>
      </c>
      <c r="D303" s="4">
        <v>4</v>
      </c>
      <c r="E303" s="4">
        <v>3</v>
      </c>
      <c r="F303" s="4">
        <v>4</v>
      </c>
      <c r="G303" s="4">
        <v>3</v>
      </c>
      <c r="H303" s="4">
        <v>4</v>
      </c>
      <c r="I303" s="4">
        <v>4</v>
      </c>
      <c r="J303" s="4">
        <v>26</v>
      </c>
      <c r="K303" s="4">
        <v>74.285714285714306</v>
      </c>
      <c r="M303">
        <f>+COUNT(Table1[[#This Row],[Need]:[Overall]])</f>
        <v>7</v>
      </c>
    </row>
    <row r="304" spans="1:13" hidden="1" x14ac:dyDescent="0.2">
      <c r="A304" s="2" t="s">
        <v>43</v>
      </c>
      <c r="B304" s="2" t="s">
        <v>48</v>
      </c>
      <c r="C304" s="4">
        <v>5</v>
      </c>
      <c r="D304" s="4">
        <v>5</v>
      </c>
      <c r="E304" s="4">
        <v>5</v>
      </c>
      <c r="F304" s="4">
        <v>5</v>
      </c>
      <c r="G304" s="4">
        <v>5</v>
      </c>
      <c r="H304" s="4">
        <v>5</v>
      </c>
      <c r="I304" s="4">
        <v>5</v>
      </c>
      <c r="J304" s="4">
        <v>35</v>
      </c>
      <c r="K304" s="4">
        <v>100</v>
      </c>
      <c r="M304">
        <f>+COUNT(Table1[[#This Row],[Need]:[Overall]])</f>
        <v>7</v>
      </c>
    </row>
    <row r="305" spans="1:13" hidden="1" x14ac:dyDescent="0.2">
      <c r="A305" s="2" t="s">
        <v>43</v>
      </c>
      <c r="B305" s="2" t="s">
        <v>48</v>
      </c>
      <c r="C305" s="4">
        <v>3</v>
      </c>
      <c r="D305" s="4">
        <v>3</v>
      </c>
      <c r="E305" s="4">
        <v>3</v>
      </c>
      <c r="F305" s="4">
        <v>3</v>
      </c>
      <c r="G305" s="4">
        <v>3</v>
      </c>
      <c r="H305" s="4">
        <v>3</v>
      </c>
      <c r="I305" s="4">
        <v>3</v>
      </c>
      <c r="J305" s="4">
        <v>21</v>
      </c>
      <c r="K305" s="4">
        <v>60</v>
      </c>
      <c r="M305">
        <f>+COUNT(Table1[[#This Row],[Need]:[Overall]])</f>
        <v>7</v>
      </c>
    </row>
    <row r="306" spans="1:13" hidden="1" x14ac:dyDescent="0.2">
      <c r="A306" s="2" t="s">
        <v>43</v>
      </c>
      <c r="B306" s="2" t="s">
        <v>48</v>
      </c>
      <c r="C306" s="4" t="s">
        <v>13</v>
      </c>
      <c r="D306" s="4" t="s">
        <v>13</v>
      </c>
      <c r="E306" s="4" t="s">
        <v>13</v>
      </c>
      <c r="F306" s="4" t="s">
        <v>13</v>
      </c>
      <c r="G306" s="4" t="s">
        <v>13</v>
      </c>
      <c r="H306" s="4" t="s">
        <v>13</v>
      </c>
      <c r="I306" s="4" t="s">
        <v>13</v>
      </c>
      <c r="J306" s="3"/>
      <c r="K306" s="3" t="s">
        <v>121</v>
      </c>
      <c r="M306">
        <f>+COUNT(Table1[[#This Row],[Need]:[Overall]])</f>
        <v>0</v>
      </c>
    </row>
    <row r="307" spans="1:13" hidden="1" x14ac:dyDescent="0.2">
      <c r="A307" s="2" t="s">
        <v>43</v>
      </c>
      <c r="B307" s="2" t="s">
        <v>48</v>
      </c>
      <c r="C307" s="4">
        <v>3</v>
      </c>
      <c r="D307" s="4">
        <v>3</v>
      </c>
      <c r="E307" s="4">
        <v>3</v>
      </c>
      <c r="F307" s="4">
        <v>3</v>
      </c>
      <c r="G307" s="4">
        <v>3</v>
      </c>
      <c r="H307" s="4">
        <v>3</v>
      </c>
      <c r="I307" s="4">
        <v>3</v>
      </c>
      <c r="J307" s="4">
        <v>21</v>
      </c>
      <c r="K307" s="4">
        <v>60</v>
      </c>
      <c r="M307">
        <f>+COUNT(Table1[[#This Row],[Need]:[Overall]])</f>
        <v>7</v>
      </c>
    </row>
    <row r="308" spans="1:13" hidden="1" x14ac:dyDescent="0.2">
      <c r="A308" s="2" t="s">
        <v>43</v>
      </c>
      <c r="B308" s="2" t="s">
        <v>48</v>
      </c>
      <c r="C308" s="4">
        <v>4</v>
      </c>
      <c r="D308" s="4">
        <v>4</v>
      </c>
      <c r="E308" s="4">
        <v>4</v>
      </c>
      <c r="F308" s="4">
        <v>4</v>
      </c>
      <c r="G308" s="4">
        <v>4</v>
      </c>
      <c r="H308" s="4">
        <v>4</v>
      </c>
      <c r="I308" s="4">
        <v>4</v>
      </c>
      <c r="J308" s="4">
        <v>28</v>
      </c>
      <c r="K308" s="4">
        <v>80</v>
      </c>
      <c r="M308">
        <f>+COUNT(Table1[[#This Row],[Need]:[Overall]])</f>
        <v>7</v>
      </c>
    </row>
    <row r="309" spans="1:13" hidden="1" x14ac:dyDescent="0.2">
      <c r="A309" s="2" t="s">
        <v>43</v>
      </c>
      <c r="B309" s="2" t="s">
        <v>48</v>
      </c>
      <c r="C309" s="4">
        <v>4</v>
      </c>
      <c r="D309" s="4">
        <v>4</v>
      </c>
      <c r="E309" s="4">
        <v>3</v>
      </c>
      <c r="F309" s="4">
        <v>4</v>
      </c>
      <c r="G309" s="4">
        <v>4</v>
      </c>
      <c r="H309" s="4">
        <v>4</v>
      </c>
      <c r="I309" s="4">
        <v>4</v>
      </c>
      <c r="J309" s="4">
        <v>27</v>
      </c>
      <c r="K309" s="4">
        <v>77.142857142857196</v>
      </c>
      <c r="M309">
        <f>+COUNT(Table1[[#This Row],[Need]:[Overall]])</f>
        <v>7</v>
      </c>
    </row>
    <row r="310" spans="1:13" hidden="1" x14ac:dyDescent="0.2">
      <c r="A310" s="2" t="s">
        <v>43</v>
      </c>
      <c r="B310" s="2" t="s">
        <v>48</v>
      </c>
      <c r="C310" s="4">
        <v>5</v>
      </c>
      <c r="D310" s="4">
        <v>5</v>
      </c>
      <c r="E310" s="4">
        <v>5</v>
      </c>
      <c r="F310" s="4">
        <v>5</v>
      </c>
      <c r="G310" s="4">
        <v>5</v>
      </c>
      <c r="H310" s="4">
        <v>5</v>
      </c>
      <c r="I310" s="4">
        <v>5</v>
      </c>
      <c r="J310" s="4">
        <v>35</v>
      </c>
      <c r="K310" s="4">
        <v>100</v>
      </c>
      <c r="M310">
        <f>+COUNT(Table1[[#This Row],[Need]:[Overall]])</f>
        <v>7</v>
      </c>
    </row>
    <row r="311" spans="1:13" hidden="1" x14ac:dyDescent="0.2">
      <c r="A311" s="2" t="s">
        <v>43</v>
      </c>
      <c r="B311" s="2" t="s">
        <v>48</v>
      </c>
      <c r="C311" s="4">
        <v>5</v>
      </c>
      <c r="D311" s="4">
        <v>5</v>
      </c>
      <c r="E311" s="4">
        <v>5</v>
      </c>
      <c r="F311" s="4">
        <v>5</v>
      </c>
      <c r="G311" s="4">
        <v>4</v>
      </c>
      <c r="H311" s="4">
        <v>4</v>
      </c>
      <c r="I311" s="4">
        <v>5</v>
      </c>
      <c r="J311" s="4">
        <v>33</v>
      </c>
      <c r="K311" s="4">
        <v>94.285714285714306</v>
      </c>
      <c r="M311">
        <f>+COUNT(Table1[[#This Row],[Need]:[Overall]])</f>
        <v>7</v>
      </c>
    </row>
    <row r="312" spans="1:13" hidden="1" x14ac:dyDescent="0.2">
      <c r="A312" s="2" t="s">
        <v>43</v>
      </c>
      <c r="B312" s="2" t="s">
        <v>48</v>
      </c>
      <c r="C312" s="4">
        <v>5</v>
      </c>
      <c r="D312" s="4">
        <v>5</v>
      </c>
      <c r="E312" s="4">
        <v>4</v>
      </c>
      <c r="F312" s="4">
        <v>5</v>
      </c>
      <c r="G312" s="4">
        <v>5</v>
      </c>
      <c r="H312" s="4">
        <v>4</v>
      </c>
      <c r="I312" s="4">
        <v>5</v>
      </c>
      <c r="J312" s="4">
        <v>33</v>
      </c>
      <c r="K312" s="4">
        <v>94.285714285714306</v>
      </c>
      <c r="M312">
        <f>+COUNT(Table1[[#This Row],[Need]:[Overall]])</f>
        <v>7</v>
      </c>
    </row>
    <row r="313" spans="1:13" hidden="1" x14ac:dyDescent="0.2">
      <c r="A313" s="2" t="s">
        <v>43</v>
      </c>
      <c r="B313" s="2" t="s">
        <v>48</v>
      </c>
      <c r="C313" s="4">
        <v>5</v>
      </c>
      <c r="D313" s="4">
        <v>4</v>
      </c>
      <c r="E313" s="4">
        <v>4</v>
      </c>
      <c r="F313" s="4">
        <v>5</v>
      </c>
      <c r="G313" s="4">
        <v>5</v>
      </c>
      <c r="H313" s="4">
        <v>4</v>
      </c>
      <c r="I313" s="4">
        <v>5</v>
      </c>
      <c r="J313" s="4">
        <v>32</v>
      </c>
      <c r="K313" s="4">
        <v>91.428571428571402</v>
      </c>
      <c r="M313">
        <f>+COUNT(Table1[[#This Row],[Need]:[Overall]])</f>
        <v>7</v>
      </c>
    </row>
    <row r="314" spans="1:13" hidden="1" x14ac:dyDescent="0.2">
      <c r="A314" s="2" t="s">
        <v>43</v>
      </c>
      <c r="B314" s="2" t="s">
        <v>48</v>
      </c>
      <c r="C314" s="4" t="s">
        <v>13</v>
      </c>
      <c r="D314" s="4" t="s">
        <v>13</v>
      </c>
      <c r="E314" s="4" t="s">
        <v>13</v>
      </c>
      <c r="F314" s="4" t="s">
        <v>13</v>
      </c>
      <c r="G314" s="4" t="s">
        <v>13</v>
      </c>
      <c r="H314" s="4" t="s">
        <v>13</v>
      </c>
      <c r="I314" s="4" t="s">
        <v>13</v>
      </c>
      <c r="J314" s="3"/>
      <c r="K314" s="3" t="s">
        <v>121</v>
      </c>
      <c r="M314">
        <f>+COUNT(Table1[[#This Row],[Need]:[Overall]])</f>
        <v>0</v>
      </c>
    </row>
    <row r="315" spans="1:13" hidden="1" x14ac:dyDescent="0.2">
      <c r="A315" s="2" t="s">
        <v>43</v>
      </c>
      <c r="B315" s="2" t="s">
        <v>48</v>
      </c>
      <c r="C315" s="4">
        <v>5</v>
      </c>
      <c r="D315" s="4">
        <v>5</v>
      </c>
      <c r="E315" s="4">
        <v>5</v>
      </c>
      <c r="F315" s="4">
        <v>5</v>
      </c>
      <c r="G315" s="4">
        <v>5</v>
      </c>
      <c r="H315" s="4">
        <v>5</v>
      </c>
      <c r="I315" s="4">
        <v>5</v>
      </c>
      <c r="J315" s="4">
        <v>35</v>
      </c>
      <c r="K315" s="4">
        <v>100</v>
      </c>
      <c r="M315">
        <f>+COUNT(Table1[[#This Row],[Need]:[Overall]])</f>
        <v>7</v>
      </c>
    </row>
    <row r="316" spans="1:13" hidden="1" x14ac:dyDescent="0.2">
      <c r="A316" s="2" t="s">
        <v>43</v>
      </c>
      <c r="B316" s="2" t="s">
        <v>48</v>
      </c>
      <c r="C316" s="4">
        <v>5</v>
      </c>
      <c r="D316" s="4">
        <v>5</v>
      </c>
      <c r="E316" s="4">
        <v>5</v>
      </c>
      <c r="F316" s="4">
        <v>5</v>
      </c>
      <c r="G316" s="4">
        <v>5</v>
      </c>
      <c r="H316" s="4">
        <v>5</v>
      </c>
      <c r="I316" s="4">
        <v>5</v>
      </c>
      <c r="J316" s="4">
        <v>35</v>
      </c>
      <c r="K316" s="4">
        <v>100</v>
      </c>
      <c r="M316">
        <f>+COUNT(Table1[[#This Row],[Need]:[Overall]])</f>
        <v>7</v>
      </c>
    </row>
    <row r="317" spans="1:13" hidden="1" x14ac:dyDescent="0.2">
      <c r="A317" s="2" t="s">
        <v>49</v>
      </c>
      <c r="B317" s="2" t="s">
        <v>50</v>
      </c>
      <c r="C317" s="4">
        <v>3</v>
      </c>
      <c r="D317" s="4">
        <v>2</v>
      </c>
      <c r="E317" s="4">
        <v>3</v>
      </c>
      <c r="F317" s="4">
        <v>3</v>
      </c>
      <c r="G317" s="4">
        <v>4</v>
      </c>
      <c r="H317" s="4">
        <v>4</v>
      </c>
      <c r="I317" s="4">
        <v>3</v>
      </c>
      <c r="J317" s="4">
        <v>22</v>
      </c>
      <c r="K317" s="4">
        <v>62.857142857142897</v>
      </c>
      <c r="M317">
        <f>+COUNT(Table1[[#This Row],[Need]:[Overall]])</f>
        <v>7</v>
      </c>
    </row>
    <row r="318" spans="1:13" hidden="1" x14ac:dyDescent="0.2">
      <c r="A318" s="2" t="s">
        <v>49</v>
      </c>
      <c r="B318" s="2" t="s">
        <v>50</v>
      </c>
      <c r="C318" s="4">
        <v>5</v>
      </c>
      <c r="D318" s="4">
        <v>5</v>
      </c>
      <c r="E318" s="4">
        <v>5</v>
      </c>
      <c r="F318" s="4">
        <v>5</v>
      </c>
      <c r="G318" s="4">
        <v>5</v>
      </c>
      <c r="H318" s="4">
        <v>5</v>
      </c>
      <c r="I318" s="4">
        <v>5</v>
      </c>
      <c r="J318" s="4">
        <v>35</v>
      </c>
      <c r="K318" s="4">
        <v>100</v>
      </c>
      <c r="M318">
        <f>+COUNT(Table1[[#This Row],[Need]:[Overall]])</f>
        <v>7</v>
      </c>
    </row>
    <row r="319" spans="1:13" hidden="1" x14ac:dyDescent="0.2">
      <c r="A319" s="2" t="s">
        <v>49</v>
      </c>
      <c r="B319" s="2" t="s">
        <v>50</v>
      </c>
      <c r="C319" s="4">
        <v>5</v>
      </c>
      <c r="D319" s="4">
        <v>5</v>
      </c>
      <c r="E319" s="4">
        <v>5</v>
      </c>
      <c r="F319" s="4">
        <v>5</v>
      </c>
      <c r="G319" s="4">
        <v>5</v>
      </c>
      <c r="H319" s="4">
        <v>5</v>
      </c>
      <c r="I319" s="4">
        <v>5</v>
      </c>
      <c r="J319" s="4">
        <v>35</v>
      </c>
      <c r="K319" s="4">
        <v>100</v>
      </c>
      <c r="M319">
        <f>+COUNT(Table1[[#This Row],[Need]:[Overall]])</f>
        <v>7</v>
      </c>
    </row>
    <row r="320" spans="1:13" hidden="1" x14ac:dyDescent="0.2">
      <c r="A320" s="2" t="s">
        <v>49</v>
      </c>
      <c r="B320" s="2" t="s">
        <v>50</v>
      </c>
      <c r="C320" s="4">
        <v>2</v>
      </c>
      <c r="D320" s="4">
        <v>2</v>
      </c>
      <c r="E320" s="4">
        <v>2</v>
      </c>
      <c r="F320" s="4">
        <v>2</v>
      </c>
      <c r="G320" s="4">
        <v>2</v>
      </c>
      <c r="H320" s="4">
        <v>2</v>
      </c>
      <c r="I320" s="4">
        <v>2</v>
      </c>
      <c r="J320" s="4">
        <v>14</v>
      </c>
      <c r="K320" s="4">
        <v>40</v>
      </c>
      <c r="M320">
        <f>+COUNT(Table1[[#This Row],[Need]:[Overall]])</f>
        <v>7</v>
      </c>
    </row>
    <row r="321" spans="1:13" hidden="1" x14ac:dyDescent="0.2">
      <c r="A321" s="2" t="s">
        <v>49</v>
      </c>
      <c r="B321" s="2" t="s">
        <v>50</v>
      </c>
      <c r="C321" s="4">
        <v>5</v>
      </c>
      <c r="D321" s="4">
        <v>5</v>
      </c>
      <c r="E321" s="4">
        <v>5</v>
      </c>
      <c r="F321" s="4">
        <v>4</v>
      </c>
      <c r="G321" s="4">
        <v>5</v>
      </c>
      <c r="H321" s="4">
        <v>5</v>
      </c>
      <c r="I321" s="4">
        <v>5</v>
      </c>
      <c r="J321" s="4">
        <v>34</v>
      </c>
      <c r="K321" s="4">
        <v>97.142857142857096</v>
      </c>
      <c r="M321">
        <f>+COUNT(Table1[[#This Row],[Need]:[Overall]])</f>
        <v>7</v>
      </c>
    </row>
    <row r="322" spans="1:13" hidden="1" x14ac:dyDescent="0.2">
      <c r="A322" s="2" t="s">
        <v>49</v>
      </c>
      <c r="B322" s="2" t="s">
        <v>50</v>
      </c>
      <c r="C322" s="4">
        <v>4</v>
      </c>
      <c r="D322" s="4">
        <v>4</v>
      </c>
      <c r="E322" s="4">
        <v>4</v>
      </c>
      <c r="F322" s="4">
        <v>4</v>
      </c>
      <c r="G322" s="4">
        <v>5</v>
      </c>
      <c r="H322" s="4">
        <v>4</v>
      </c>
      <c r="I322" s="4">
        <v>4</v>
      </c>
      <c r="J322" s="4">
        <v>29</v>
      </c>
      <c r="K322" s="4">
        <v>82.857142857142904</v>
      </c>
      <c r="M322">
        <f>+COUNT(Table1[[#This Row],[Need]:[Overall]])</f>
        <v>7</v>
      </c>
    </row>
    <row r="323" spans="1:13" hidden="1" x14ac:dyDescent="0.2">
      <c r="A323" s="2" t="s">
        <v>49</v>
      </c>
      <c r="B323" s="2" t="s">
        <v>50</v>
      </c>
      <c r="C323" s="4" t="s">
        <v>13</v>
      </c>
      <c r="D323" s="4" t="s">
        <v>13</v>
      </c>
      <c r="E323" s="4" t="s">
        <v>13</v>
      </c>
      <c r="F323" s="4" t="s">
        <v>13</v>
      </c>
      <c r="G323" s="4" t="s">
        <v>13</v>
      </c>
      <c r="H323" s="4" t="s">
        <v>13</v>
      </c>
      <c r="I323" s="4" t="s">
        <v>13</v>
      </c>
      <c r="J323" s="3"/>
      <c r="K323" s="3" t="s">
        <v>121</v>
      </c>
      <c r="M323">
        <f>+COUNT(Table1[[#This Row],[Need]:[Overall]])</f>
        <v>0</v>
      </c>
    </row>
    <row r="324" spans="1:13" hidden="1" x14ac:dyDescent="0.2">
      <c r="A324" s="2" t="s">
        <v>49</v>
      </c>
      <c r="B324" s="2" t="s">
        <v>50</v>
      </c>
      <c r="C324" s="4">
        <v>3</v>
      </c>
      <c r="D324" s="4">
        <v>3</v>
      </c>
      <c r="E324" s="4">
        <v>3</v>
      </c>
      <c r="F324" s="4">
        <v>4</v>
      </c>
      <c r="G324" s="4">
        <v>3</v>
      </c>
      <c r="H324" s="4">
        <v>4</v>
      </c>
      <c r="I324" s="4">
        <v>3</v>
      </c>
      <c r="J324" s="4">
        <v>23</v>
      </c>
      <c r="K324" s="4">
        <v>65.714285714285694</v>
      </c>
      <c r="M324">
        <f>+COUNT(Table1[[#This Row],[Need]:[Overall]])</f>
        <v>7</v>
      </c>
    </row>
    <row r="325" spans="1:13" hidden="1" x14ac:dyDescent="0.2">
      <c r="A325" s="2" t="s">
        <v>49</v>
      </c>
      <c r="B325" s="2" t="s">
        <v>50</v>
      </c>
      <c r="C325" s="4">
        <v>5</v>
      </c>
      <c r="D325" s="4">
        <v>5</v>
      </c>
      <c r="E325" s="4">
        <v>5</v>
      </c>
      <c r="F325" s="4">
        <v>5</v>
      </c>
      <c r="G325" s="4">
        <v>5</v>
      </c>
      <c r="H325" s="4">
        <v>5</v>
      </c>
      <c r="I325" s="4">
        <v>5</v>
      </c>
      <c r="J325" s="4">
        <v>35</v>
      </c>
      <c r="K325" s="4">
        <v>100</v>
      </c>
      <c r="M325">
        <f>+COUNT(Table1[[#This Row],[Need]:[Overall]])</f>
        <v>7</v>
      </c>
    </row>
    <row r="326" spans="1:13" hidden="1" x14ac:dyDescent="0.2">
      <c r="A326" s="2" t="s">
        <v>49</v>
      </c>
      <c r="B326" s="2" t="s">
        <v>50</v>
      </c>
      <c r="C326" s="4">
        <v>5</v>
      </c>
      <c r="D326" s="4">
        <v>3</v>
      </c>
      <c r="E326" s="4">
        <v>4</v>
      </c>
      <c r="F326" s="4">
        <v>4</v>
      </c>
      <c r="G326" s="4">
        <v>5</v>
      </c>
      <c r="H326" s="4">
        <v>4</v>
      </c>
      <c r="I326" s="4">
        <v>4</v>
      </c>
      <c r="J326" s="4">
        <v>29</v>
      </c>
      <c r="K326" s="4">
        <v>82.857142857142904</v>
      </c>
      <c r="M326">
        <f>+COUNT(Table1[[#This Row],[Need]:[Overall]])</f>
        <v>7</v>
      </c>
    </row>
    <row r="327" spans="1:13" hidden="1" x14ac:dyDescent="0.2">
      <c r="A327" s="2" t="s">
        <v>49</v>
      </c>
      <c r="B327" s="2" t="s">
        <v>50</v>
      </c>
      <c r="C327" s="4">
        <v>5</v>
      </c>
      <c r="D327" s="4">
        <v>4</v>
      </c>
      <c r="E327" s="4">
        <v>5</v>
      </c>
      <c r="F327" s="4">
        <v>5</v>
      </c>
      <c r="G327" s="4">
        <v>4</v>
      </c>
      <c r="H327" s="4">
        <v>4</v>
      </c>
      <c r="I327" s="4">
        <v>5</v>
      </c>
      <c r="J327" s="4">
        <v>32</v>
      </c>
      <c r="K327" s="4">
        <v>91.428571428571402</v>
      </c>
      <c r="M327">
        <f>+COUNT(Table1[[#This Row],[Need]:[Overall]])</f>
        <v>7</v>
      </c>
    </row>
    <row r="328" spans="1:13" hidden="1" x14ac:dyDescent="0.2">
      <c r="A328" s="2" t="s">
        <v>49</v>
      </c>
      <c r="B328" s="2" t="s">
        <v>50</v>
      </c>
      <c r="C328" s="4">
        <v>4</v>
      </c>
      <c r="D328" s="4">
        <v>4</v>
      </c>
      <c r="E328" s="4">
        <v>3</v>
      </c>
      <c r="F328" s="4">
        <v>4</v>
      </c>
      <c r="G328" s="4">
        <v>4</v>
      </c>
      <c r="H328" s="4">
        <v>4</v>
      </c>
      <c r="I328" s="4">
        <v>4</v>
      </c>
      <c r="J328" s="4">
        <v>27</v>
      </c>
      <c r="K328" s="4">
        <v>77.142857142857196</v>
      </c>
      <c r="M328">
        <f>+COUNT(Table1[[#This Row],[Need]:[Overall]])</f>
        <v>7</v>
      </c>
    </row>
    <row r="329" spans="1:13" hidden="1" x14ac:dyDescent="0.2">
      <c r="A329" s="2" t="s">
        <v>49</v>
      </c>
      <c r="B329" s="2" t="s">
        <v>50</v>
      </c>
      <c r="C329" s="4" t="s">
        <v>13</v>
      </c>
      <c r="D329" s="4" t="s">
        <v>13</v>
      </c>
      <c r="E329" s="4" t="s">
        <v>13</v>
      </c>
      <c r="F329" s="4" t="s">
        <v>13</v>
      </c>
      <c r="G329" s="4" t="s">
        <v>13</v>
      </c>
      <c r="H329" s="4" t="s">
        <v>13</v>
      </c>
      <c r="I329" s="4" t="s">
        <v>13</v>
      </c>
      <c r="J329" s="3"/>
      <c r="K329" s="3" t="s">
        <v>121</v>
      </c>
      <c r="M329">
        <f>+COUNT(Table1[[#This Row],[Need]:[Overall]])</f>
        <v>0</v>
      </c>
    </row>
    <row r="330" spans="1:13" hidden="1" x14ac:dyDescent="0.2">
      <c r="A330" s="2" t="s">
        <v>49</v>
      </c>
      <c r="B330" s="2" t="s">
        <v>50</v>
      </c>
      <c r="C330" s="4">
        <v>5</v>
      </c>
      <c r="D330" s="4">
        <v>5</v>
      </c>
      <c r="E330" s="4">
        <v>5</v>
      </c>
      <c r="F330" s="4">
        <v>5</v>
      </c>
      <c r="G330" s="4">
        <v>5</v>
      </c>
      <c r="H330" s="4">
        <v>5</v>
      </c>
      <c r="I330" s="4">
        <v>5</v>
      </c>
      <c r="J330" s="4">
        <v>35</v>
      </c>
      <c r="K330" s="4">
        <v>100</v>
      </c>
      <c r="M330">
        <f>+COUNT(Table1[[#This Row],[Need]:[Overall]])</f>
        <v>7</v>
      </c>
    </row>
    <row r="331" spans="1:13" hidden="1" x14ac:dyDescent="0.2">
      <c r="A331" s="2" t="s">
        <v>49</v>
      </c>
      <c r="B331" s="2" t="s">
        <v>50</v>
      </c>
      <c r="C331" s="4">
        <v>5</v>
      </c>
      <c r="D331" s="4">
        <v>5</v>
      </c>
      <c r="E331" s="4">
        <v>5</v>
      </c>
      <c r="F331" s="4">
        <v>5</v>
      </c>
      <c r="G331" s="4">
        <v>5</v>
      </c>
      <c r="H331" s="4">
        <v>5</v>
      </c>
      <c r="I331" s="4">
        <v>5</v>
      </c>
      <c r="J331" s="4">
        <v>35</v>
      </c>
      <c r="K331" s="4">
        <v>100</v>
      </c>
      <c r="M331">
        <f>+COUNT(Table1[[#This Row],[Need]:[Overall]])</f>
        <v>7</v>
      </c>
    </row>
    <row r="333" spans="1:13" x14ac:dyDescent="0.2">
      <c r="A333" s="5"/>
    </row>
  </sheetData>
  <pageMargins left="0.75" right="0.75" top="1" bottom="1" header="0.5" footer="0.5"/>
  <pageSetup orientation="portrait" horizontalDpi="300" verticalDpi="300"/>
  <headerFooter alignWithMargins="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6"/>
  <sheetViews>
    <sheetView topLeftCell="P1" workbookViewId="0">
      <selection activeCell="P42" sqref="P42"/>
    </sheetView>
  </sheetViews>
  <sheetFormatPr defaultRowHeight="12.75" x14ac:dyDescent="0.2"/>
  <cols>
    <col min="1" max="1" width="3.7109375" customWidth="1"/>
    <col min="2" max="2" width="77" bestFit="1" customWidth="1"/>
    <col min="3" max="3" width="90.5703125" bestFit="1" customWidth="1"/>
    <col min="4" max="4" width="17.28515625" customWidth="1"/>
    <col min="5" max="5" width="13.7109375" customWidth="1"/>
    <col min="6" max="6" width="17" customWidth="1"/>
    <col min="7" max="7" width="8.5703125" customWidth="1"/>
    <col min="8" max="8" width="2" customWidth="1"/>
    <col min="9" max="9" width="11.7109375" customWidth="1"/>
    <col min="10" max="14" width="8.7109375" customWidth="1"/>
    <col min="15" max="15" width="77" bestFit="1" customWidth="1"/>
    <col min="16" max="16" width="90.5703125" bestFit="1" customWidth="1"/>
    <col min="17" max="17" width="20.7109375" bestFit="1" customWidth="1"/>
    <col min="18" max="18" width="23.7109375" bestFit="1" customWidth="1"/>
    <col min="19" max="19" width="8.28515625" bestFit="1" customWidth="1"/>
    <col min="20" max="20" width="21.140625" bestFit="1" customWidth="1"/>
    <col min="21" max="21" width="2.7109375" customWidth="1"/>
    <col min="22" max="22" width="8.28515625" bestFit="1" customWidth="1"/>
    <col min="23" max="23" width="16.42578125" bestFit="1" customWidth="1"/>
    <col min="24" max="24" width="8.28515625" bestFit="1" customWidth="1"/>
    <col min="25" max="25" width="16.42578125" bestFit="1" customWidth="1"/>
    <col min="26" max="26" width="8.28515625" bestFit="1" customWidth="1"/>
    <col min="27" max="49" width="8.7109375" customWidth="1"/>
  </cols>
  <sheetData>
    <row r="3" spans="2:26" x14ac:dyDescent="0.2">
      <c r="D3" s="82" t="s">
        <v>64</v>
      </c>
      <c r="I3" t="s">
        <v>108</v>
      </c>
      <c r="Q3" s="82" t="s">
        <v>64</v>
      </c>
    </row>
    <row r="4" spans="2:26" x14ac:dyDescent="0.2">
      <c r="B4" s="82" t="s">
        <v>0</v>
      </c>
      <c r="C4" s="82" t="s">
        <v>1</v>
      </c>
      <c r="D4" t="s">
        <v>105</v>
      </c>
      <c r="E4" t="s">
        <v>102</v>
      </c>
      <c r="F4" t="s">
        <v>103</v>
      </c>
      <c r="G4" t="s">
        <v>104</v>
      </c>
      <c r="I4" t="s">
        <v>109</v>
      </c>
      <c r="J4" t="s">
        <v>106</v>
      </c>
      <c r="K4" t="s">
        <v>107</v>
      </c>
      <c r="L4" t="s">
        <v>106</v>
      </c>
      <c r="O4" s="82" t="s">
        <v>0</v>
      </c>
      <c r="P4" s="82" t="s">
        <v>1</v>
      </c>
      <c r="Q4" t="s">
        <v>100</v>
      </c>
      <c r="R4" t="s">
        <v>101</v>
      </c>
      <c r="S4" t="s">
        <v>110</v>
      </c>
      <c r="T4" t="s">
        <v>111</v>
      </c>
      <c r="V4" t="s">
        <v>106</v>
      </c>
      <c r="W4" t="s">
        <v>113</v>
      </c>
      <c r="X4" t="s">
        <v>106</v>
      </c>
      <c r="Y4" t="s">
        <v>113</v>
      </c>
      <c r="Z4" t="s">
        <v>106</v>
      </c>
    </row>
    <row r="5" spans="2:26" x14ac:dyDescent="0.2">
      <c r="B5" t="s">
        <v>11</v>
      </c>
      <c r="C5" t="s">
        <v>12</v>
      </c>
      <c r="D5" s="85">
        <v>13</v>
      </c>
      <c r="E5" s="85">
        <v>55</v>
      </c>
      <c r="F5" s="85">
        <v>65</v>
      </c>
      <c r="G5" s="83">
        <v>0.84615384615384615</v>
      </c>
      <c r="I5">
        <f>+COUNTIFS(Table1[Project Name],Validation!C5,Table1[Equity],"&gt;1")</f>
        <v>13</v>
      </c>
      <c r="J5">
        <f>+D5-I5</f>
        <v>0</v>
      </c>
      <c r="K5">
        <f>+SUMIF('Scoring Data'!$B$1:$B$332,Validation!C5,'Scoring Data'!$G$1:$G$332)</f>
        <v>55</v>
      </c>
      <c r="L5">
        <f t="shared" ref="L5:L26" si="0">+E5-K5</f>
        <v>0</v>
      </c>
      <c r="O5" t="s">
        <v>11</v>
      </c>
      <c r="P5" t="s">
        <v>12</v>
      </c>
      <c r="Q5" s="85">
        <v>366</v>
      </c>
      <c r="R5" s="85">
        <v>450</v>
      </c>
      <c r="S5" s="83">
        <v>0.81333333333333335</v>
      </c>
      <c r="T5" s="85">
        <v>90</v>
      </c>
      <c r="U5" s="85"/>
      <c r="V5">
        <f>+T5*5-R5</f>
        <v>0</v>
      </c>
      <c r="W5">
        <f>+SUMIF(Table1[Project Name],Validation!P5,'Scoring Data'!$M$2:$M$331)</f>
        <v>90</v>
      </c>
      <c r="X5">
        <f>+W5-T5</f>
        <v>0</v>
      </c>
      <c r="Y5">
        <f>+SUMIF(Table1[Project Name],Validation!P5,Table1[Overall Total])</f>
        <v>366</v>
      </c>
      <c r="Z5">
        <f t="shared" ref="Z5:Z26" si="1">+Y5-Q5</f>
        <v>0</v>
      </c>
    </row>
    <row r="6" spans="2:26" x14ac:dyDescent="0.2">
      <c r="B6" t="s">
        <v>28</v>
      </c>
      <c r="C6" t="s">
        <v>29</v>
      </c>
      <c r="D6" s="85">
        <v>14</v>
      </c>
      <c r="E6" s="85">
        <v>47</v>
      </c>
      <c r="F6" s="85">
        <v>70</v>
      </c>
      <c r="G6" s="83">
        <v>0.67142857142857137</v>
      </c>
      <c r="I6">
        <f>+COUNTIFS(Table1[Project Name],Validation!C6,Table1[Equity],"&gt;1")</f>
        <v>14</v>
      </c>
      <c r="J6">
        <f t="shared" ref="J6:J26" si="2">+D6-I6</f>
        <v>0</v>
      </c>
      <c r="K6">
        <f>+SUMIF('Scoring Data'!$B$1:$B$332,Validation!C6,'Scoring Data'!$G$1:$G$332)</f>
        <v>47</v>
      </c>
      <c r="L6">
        <f t="shared" si="0"/>
        <v>0</v>
      </c>
      <c r="O6" t="s">
        <v>28</v>
      </c>
      <c r="P6" t="s">
        <v>29</v>
      </c>
      <c r="Q6" s="85">
        <v>309</v>
      </c>
      <c r="R6" s="85">
        <v>490</v>
      </c>
      <c r="S6" s="83">
        <v>0.6306122448979592</v>
      </c>
      <c r="T6" s="85">
        <v>98</v>
      </c>
      <c r="U6" s="85"/>
      <c r="V6">
        <f t="shared" ref="V6:V26" si="3">+T6*5-R6</f>
        <v>0</v>
      </c>
      <c r="W6">
        <f>+SUMIF(Table1[Project Name],Validation!P6,'Scoring Data'!$M$2:$M$331)</f>
        <v>98</v>
      </c>
      <c r="X6">
        <f t="shared" ref="X6:X26" si="4">+W6-T6</f>
        <v>0</v>
      </c>
      <c r="Y6">
        <f>+SUMIF(Table1[Project Name],Validation!P6,Table1[Overall Total])</f>
        <v>309</v>
      </c>
      <c r="Z6">
        <f t="shared" si="1"/>
        <v>0</v>
      </c>
    </row>
    <row r="7" spans="2:26" x14ac:dyDescent="0.2">
      <c r="B7" t="s">
        <v>16</v>
      </c>
      <c r="C7" t="s">
        <v>17</v>
      </c>
      <c r="D7" s="85">
        <v>14</v>
      </c>
      <c r="E7" s="85">
        <v>63</v>
      </c>
      <c r="F7" s="85">
        <v>70</v>
      </c>
      <c r="G7" s="83">
        <v>0.9</v>
      </c>
      <c r="I7">
        <f>+COUNTIFS(Table1[Project Name],Validation!C7,Table1[Equity],"&gt;1")</f>
        <v>14</v>
      </c>
      <c r="J7">
        <f t="shared" si="2"/>
        <v>0</v>
      </c>
      <c r="K7">
        <f>+SUMIF('Scoring Data'!$B$1:$B$332,Validation!C7,'Scoring Data'!$G$1:$G$332)</f>
        <v>63</v>
      </c>
      <c r="L7">
        <f t="shared" si="0"/>
        <v>0</v>
      </c>
      <c r="O7" t="s">
        <v>16</v>
      </c>
      <c r="P7" t="s">
        <v>17</v>
      </c>
      <c r="Q7" s="85">
        <v>435</v>
      </c>
      <c r="R7" s="85">
        <v>490</v>
      </c>
      <c r="S7" s="83">
        <v>0.88775510204081631</v>
      </c>
      <c r="T7" s="85">
        <v>98</v>
      </c>
      <c r="U7" s="85"/>
      <c r="V7">
        <f t="shared" si="3"/>
        <v>0</v>
      </c>
      <c r="W7">
        <f>+SUMIF(Table1[Project Name],Validation!P7,'Scoring Data'!$M$2:$M$331)</f>
        <v>98</v>
      </c>
      <c r="X7">
        <f t="shared" si="4"/>
        <v>0</v>
      </c>
      <c r="Y7">
        <f>+SUMIF(Table1[Project Name],Validation!P7,Table1[Overall Total])</f>
        <v>435</v>
      </c>
      <c r="Z7">
        <f t="shared" si="1"/>
        <v>0</v>
      </c>
    </row>
    <row r="8" spans="2:26" x14ac:dyDescent="0.2">
      <c r="B8" t="s">
        <v>41</v>
      </c>
      <c r="C8" t="s">
        <v>42</v>
      </c>
      <c r="D8" s="85">
        <v>13</v>
      </c>
      <c r="E8" s="85">
        <v>55</v>
      </c>
      <c r="F8" s="85">
        <v>65</v>
      </c>
      <c r="G8" s="83">
        <v>0.84615384615384615</v>
      </c>
      <c r="I8">
        <f>+COUNTIFS(Table1[Project Name],Validation!C8,Table1[Equity],"&gt;1")</f>
        <v>13</v>
      </c>
      <c r="J8">
        <f t="shared" si="2"/>
        <v>0</v>
      </c>
      <c r="K8">
        <f>+SUMIF('Scoring Data'!$B$1:$B$332,Validation!C8,'Scoring Data'!$G$1:$G$332)</f>
        <v>55</v>
      </c>
      <c r="L8">
        <f t="shared" si="0"/>
        <v>0</v>
      </c>
      <c r="O8" t="s">
        <v>41</v>
      </c>
      <c r="P8" t="s">
        <v>42</v>
      </c>
      <c r="Q8" s="85">
        <v>386</v>
      </c>
      <c r="R8" s="85">
        <v>455</v>
      </c>
      <c r="S8" s="83">
        <v>0.84835164835164834</v>
      </c>
      <c r="T8" s="85">
        <v>91</v>
      </c>
      <c r="U8" s="85"/>
      <c r="V8">
        <f t="shared" si="3"/>
        <v>0</v>
      </c>
      <c r="W8">
        <f>+SUMIF(Table1[Project Name],Validation!P8,'Scoring Data'!$M$2:$M$331)</f>
        <v>91</v>
      </c>
      <c r="X8">
        <f t="shared" si="4"/>
        <v>0</v>
      </c>
      <c r="Y8">
        <f>+SUMIF(Table1[Project Name],Validation!P8,Table1[Overall Total])</f>
        <v>386</v>
      </c>
      <c r="Z8">
        <f t="shared" si="1"/>
        <v>0</v>
      </c>
    </row>
    <row r="9" spans="2:26" x14ac:dyDescent="0.2">
      <c r="B9" t="s">
        <v>43</v>
      </c>
      <c r="C9" t="s">
        <v>48</v>
      </c>
      <c r="D9" s="85">
        <v>13</v>
      </c>
      <c r="E9" s="85">
        <v>55</v>
      </c>
      <c r="F9" s="85">
        <v>65</v>
      </c>
      <c r="G9" s="83">
        <v>0.84615384615384615</v>
      </c>
      <c r="I9">
        <f>+COUNTIFS(Table1[Project Name],Validation!C9,Table1[Equity],"&gt;1")</f>
        <v>13</v>
      </c>
      <c r="J9">
        <f t="shared" si="2"/>
        <v>0</v>
      </c>
      <c r="K9">
        <f>+SUMIF('Scoring Data'!$B$1:$B$332,Validation!C9,'Scoring Data'!$G$1:$G$332)</f>
        <v>55</v>
      </c>
      <c r="L9">
        <f t="shared" si="0"/>
        <v>0</v>
      </c>
      <c r="O9" t="s">
        <v>43</v>
      </c>
      <c r="P9" t="s">
        <v>48</v>
      </c>
      <c r="Q9" s="85">
        <v>393</v>
      </c>
      <c r="R9" s="85">
        <v>455</v>
      </c>
      <c r="S9" s="83">
        <v>0.86373626373626378</v>
      </c>
      <c r="T9" s="85">
        <v>91</v>
      </c>
      <c r="U9" s="85"/>
      <c r="V9">
        <f t="shared" si="3"/>
        <v>0</v>
      </c>
      <c r="W9">
        <f>+SUMIF(Table1[Project Name],Validation!P9,'Scoring Data'!$M$2:$M$331)</f>
        <v>91</v>
      </c>
      <c r="X9">
        <f t="shared" si="4"/>
        <v>0</v>
      </c>
      <c r="Y9">
        <f>+SUMIF(Table1[Project Name],Validation!P9,Table1[Overall Total])</f>
        <v>393</v>
      </c>
      <c r="Z9">
        <f t="shared" si="1"/>
        <v>0</v>
      </c>
    </row>
    <row r="10" spans="2:26" x14ac:dyDescent="0.2">
      <c r="C10" t="s">
        <v>44</v>
      </c>
      <c r="D10" s="85">
        <v>14</v>
      </c>
      <c r="E10" s="85">
        <v>63</v>
      </c>
      <c r="F10" s="85">
        <v>70</v>
      </c>
      <c r="G10" s="83">
        <v>0.9</v>
      </c>
      <c r="I10">
        <f>+COUNTIFS(Table1[Project Name],Validation!C10,Table1[Equity],"&gt;1")</f>
        <v>14</v>
      </c>
      <c r="J10">
        <f t="shared" si="2"/>
        <v>0</v>
      </c>
      <c r="K10">
        <f>+SUMIF('Scoring Data'!$B$1:$B$332,Validation!C10,'Scoring Data'!$G$1:$G$332)</f>
        <v>63</v>
      </c>
      <c r="L10">
        <f t="shared" si="0"/>
        <v>0</v>
      </c>
      <c r="P10" t="s">
        <v>44</v>
      </c>
      <c r="Q10" s="85">
        <v>441</v>
      </c>
      <c r="R10" s="85">
        <v>490</v>
      </c>
      <c r="S10" s="83">
        <v>0.9</v>
      </c>
      <c r="T10" s="85">
        <v>98</v>
      </c>
      <c r="U10" s="85"/>
      <c r="V10">
        <f t="shared" si="3"/>
        <v>0</v>
      </c>
      <c r="W10">
        <f>+SUMIF(Table1[Project Name],Validation!P10,'Scoring Data'!$M$2:$M$331)</f>
        <v>98</v>
      </c>
      <c r="X10">
        <f t="shared" si="4"/>
        <v>0</v>
      </c>
      <c r="Y10">
        <f>+SUMIF(Table1[Project Name],Validation!P10,Table1[Overall Total])</f>
        <v>441</v>
      </c>
      <c r="Z10">
        <f t="shared" si="1"/>
        <v>0</v>
      </c>
    </row>
    <row r="11" spans="2:26" x14ac:dyDescent="0.2">
      <c r="C11" t="s">
        <v>46</v>
      </c>
      <c r="D11" s="85">
        <v>13</v>
      </c>
      <c r="E11" s="85">
        <v>55</v>
      </c>
      <c r="F11" s="85">
        <v>65</v>
      </c>
      <c r="G11" s="83">
        <v>0.84615384615384615</v>
      </c>
      <c r="I11">
        <f>+COUNTIFS(Table1[Project Name],Validation!C11,Table1[Equity],"&gt;1")</f>
        <v>13</v>
      </c>
      <c r="J11">
        <f t="shared" si="2"/>
        <v>0</v>
      </c>
      <c r="K11">
        <f>+SUMIF('Scoring Data'!$B$1:$B$332,Validation!C11,'Scoring Data'!$G$1:$G$332)</f>
        <v>55</v>
      </c>
      <c r="L11">
        <f t="shared" si="0"/>
        <v>0</v>
      </c>
      <c r="P11" t="s">
        <v>46</v>
      </c>
      <c r="Q11" s="85">
        <v>405</v>
      </c>
      <c r="R11" s="85">
        <v>455</v>
      </c>
      <c r="S11" s="83">
        <v>0.89010989010989006</v>
      </c>
      <c r="T11" s="85">
        <v>91</v>
      </c>
      <c r="U11" s="85"/>
      <c r="V11">
        <f t="shared" si="3"/>
        <v>0</v>
      </c>
      <c r="W11">
        <f>+SUMIF(Table1[Project Name],Validation!P11,'Scoring Data'!$M$2:$M$331)</f>
        <v>91</v>
      </c>
      <c r="X11">
        <f t="shared" si="4"/>
        <v>0</v>
      </c>
      <c r="Y11">
        <f>+SUMIF(Table1[Project Name],Validation!P11,Table1[Overall Total])</f>
        <v>405</v>
      </c>
      <c r="Z11">
        <f t="shared" si="1"/>
        <v>0</v>
      </c>
    </row>
    <row r="12" spans="2:26" x14ac:dyDescent="0.2">
      <c r="B12" t="s">
        <v>18</v>
      </c>
      <c r="C12" t="s">
        <v>19</v>
      </c>
      <c r="D12" s="85">
        <v>14</v>
      </c>
      <c r="E12" s="85">
        <v>68</v>
      </c>
      <c r="F12" s="85">
        <v>70</v>
      </c>
      <c r="G12" s="83">
        <v>0.97142857142857142</v>
      </c>
      <c r="I12">
        <f>+COUNTIFS(Table1[Project Name],Validation!C12,Table1[Equity],"&gt;1")</f>
        <v>14</v>
      </c>
      <c r="J12">
        <f t="shared" si="2"/>
        <v>0</v>
      </c>
      <c r="K12">
        <f>+SUMIF('Scoring Data'!$B$1:$B$332,Validation!C12,'Scoring Data'!$G$1:$G$332)</f>
        <v>68</v>
      </c>
      <c r="L12">
        <f t="shared" si="0"/>
        <v>0</v>
      </c>
      <c r="O12" t="s">
        <v>18</v>
      </c>
      <c r="P12" t="s">
        <v>19</v>
      </c>
      <c r="Q12" s="85">
        <v>435</v>
      </c>
      <c r="R12" s="85">
        <v>490</v>
      </c>
      <c r="S12" s="83">
        <v>0.88775510204081631</v>
      </c>
      <c r="T12" s="85">
        <v>98</v>
      </c>
      <c r="U12" s="85"/>
      <c r="V12">
        <f t="shared" si="3"/>
        <v>0</v>
      </c>
      <c r="W12">
        <f>+SUMIF(Table1[Project Name],Validation!P12,'Scoring Data'!$M$2:$M$331)</f>
        <v>98</v>
      </c>
      <c r="X12">
        <f t="shared" si="4"/>
        <v>0</v>
      </c>
      <c r="Y12">
        <f>+SUMIF(Table1[Project Name],Validation!P12,Table1[Overall Total])</f>
        <v>435</v>
      </c>
      <c r="Z12">
        <f t="shared" si="1"/>
        <v>0</v>
      </c>
    </row>
    <row r="13" spans="2:26" x14ac:dyDescent="0.2">
      <c r="B13" t="s">
        <v>24</v>
      </c>
      <c r="C13" t="s">
        <v>40</v>
      </c>
      <c r="D13" s="85">
        <v>14</v>
      </c>
      <c r="E13" s="85">
        <v>65</v>
      </c>
      <c r="F13" s="85">
        <v>70</v>
      </c>
      <c r="G13" s="83">
        <v>0.9285714285714286</v>
      </c>
      <c r="I13">
        <f>+COUNTIFS(Table1[Project Name],Validation!C13,Table1[Equity],"&gt;1")</f>
        <v>14</v>
      </c>
      <c r="J13">
        <f t="shared" si="2"/>
        <v>0</v>
      </c>
      <c r="K13">
        <f>+SUMIF('Scoring Data'!$B$1:$B$332,Validation!C13,'Scoring Data'!$G$1:$G$332)</f>
        <v>65</v>
      </c>
      <c r="L13">
        <f t="shared" si="0"/>
        <v>0</v>
      </c>
      <c r="O13" t="s">
        <v>24</v>
      </c>
      <c r="P13" t="s">
        <v>40</v>
      </c>
      <c r="Q13" s="85">
        <v>434</v>
      </c>
      <c r="R13" s="85">
        <v>490</v>
      </c>
      <c r="S13" s="83">
        <v>0.88571428571428568</v>
      </c>
      <c r="T13" s="85">
        <v>98</v>
      </c>
      <c r="U13" s="85"/>
      <c r="V13">
        <f t="shared" si="3"/>
        <v>0</v>
      </c>
      <c r="W13">
        <f>+SUMIF(Table1[Project Name],Validation!P13,'Scoring Data'!$M$2:$M$331)</f>
        <v>98</v>
      </c>
      <c r="X13">
        <f t="shared" si="4"/>
        <v>0</v>
      </c>
      <c r="Y13">
        <f>+SUMIF(Table1[Project Name],Validation!P13,Table1[Overall Total])</f>
        <v>434</v>
      </c>
      <c r="Z13">
        <f t="shared" si="1"/>
        <v>0</v>
      </c>
    </row>
    <row r="14" spans="2:26" x14ac:dyDescent="0.2">
      <c r="C14" t="s">
        <v>45</v>
      </c>
      <c r="D14" s="85">
        <v>14</v>
      </c>
      <c r="E14" s="85">
        <v>64</v>
      </c>
      <c r="F14" s="85">
        <v>70</v>
      </c>
      <c r="G14" s="83">
        <v>0.91428571428571426</v>
      </c>
      <c r="I14">
        <f>+COUNTIFS(Table1[Project Name],Validation!C14,Table1[Equity],"&gt;1")</f>
        <v>14</v>
      </c>
      <c r="J14">
        <f t="shared" si="2"/>
        <v>0</v>
      </c>
      <c r="K14">
        <f>+SUMIF('Scoring Data'!$B$1:$B$332,Validation!C14,'Scoring Data'!$G$1:$G$332)</f>
        <v>64</v>
      </c>
      <c r="L14">
        <f t="shared" si="0"/>
        <v>0</v>
      </c>
      <c r="P14" t="s">
        <v>45</v>
      </c>
      <c r="Q14" s="85">
        <v>442</v>
      </c>
      <c r="R14" s="85">
        <v>490</v>
      </c>
      <c r="S14" s="83">
        <v>0.90204081632653066</v>
      </c>
      <c r="T14" s="85">
        <v>98</v>
      </c>
      <c r="U14" s="85"/>
      <c r="V14">
        <f t="shared" si="3"/>
        <v>0</v>
      </c>
      <c r="W14">
        <f>+SUMIF(Table1[Project Name],Validation!P14,'Scoring Data'!$M$2:$M$331)</f>
        <v>98</v>
      </c>
      <c r="X14">
        <f t="shared" si="4"/>
        <v>0</v>
      </c>
      <c r="Y14">
        <f>+SUMIF(Table1[Project Name],Validation!P14,Table1[Overall Total])</f>
        <v>442</v>
      </c>
      <c r="Z14">
        <f t="shared" si="1"/>
        <v>0</v>
      </c>
    </row>
    <row r="15" spans="2:26" x14ac:dyDescent="0.2">
      <c r="C15" t="s">
        <v>47</v>
      </c>
      <c r="D15" s="85">
        <v>14</v>
      </c>
      <c r="E15" s="85">
        <v>66</v>
      </c>
      <c r="F15" s="85">
        <v>70</v>
      </c>
      <c r="G15" s="83">
        <v>0.94285714285714284</v>
      </c>
      <c r="I15">
        <f>+COUNTIFS(Table1[Project Name],Validation!C15,Table1[Equity],"&gt;1")</f>
        <v>14</v>
      </c>
      <c r="J15">
        <f t="shared" si="2"/>
        <v>0</v>
      </c>
      <c r="K15">
        <f>+SUMIF('Scoring Data'!$B$1:$B$332,Validation!C15,'Scoring Data'!$G$1:$G$332)</f>
        <v>66</v>
      </c>
      <c r="L15">
        <f t="shared" si="0"/>
        <v>0</v>
      </c>
      <c r="P15" t="s">
        <v>47</v>
      </c>
      <c r="Q15" s="85">
        <v>448</v>
      </c>
      <c r="R15" s="85">
        <v>490</v>
      </c>
      <c r="S15" s="83">
        <v>0.91428571428571426</v>
      </c>
      <c r="T15" s="85">
        <v>98</v>
      </c>
      <c r="U15" s="85"/>
      <c r="V15">
        <f t="shared" si="3"/>
        <v>0</v>
      </c>
      <c r="W15">
        <f>+SUMIF(Table1[Project Name],Validation!P15,'Scoring Data'!$M$2:$M$331)</f>
        <v>98</v>
      </c>
      <c r="X15">
        <f t="shared" si="4"/>
        <v>0</v>
      </c>
      <c r="Y15">
        <f>+SUMIF(Table1[Project Name],Validation!P15,Table1[Overall Total])</f>
        <v>448</v>
      </c>
      <c r="Z15">
        <f t="shared" si="1"/>
        <v>0</v>
      </c>
    </row>
    <row r="16" spans="2:26" x14ac:dyDescent="0.2">
      <c r="C16" t="s">
        <v>25</v>
      </c>
      <c r="D16" s="85">
        <v>13</v>
      </c>
      <c r="E16" s="85">
        <v>61</v>
      </c>
      <c r="F16" s="85">
        <v>65</v>
      </c>
      <c r="G16" s="83">
        <v>0.93846153846153846</v>
      </c>
      <c r="I16">
        <f>+COUNTIFS(Table1[Project Name],Validation!C16,Table1[Equity],"&gt;1")</f>
        <v>13</v>
      </c>
      <c r="J16">
        <f t="shared" si="2"/>
        <v>0</v>
      </c>
      <c r="K16">
        <f>+SUMIF('Scoring Data'!$B$1:$B$332,Validation!C16,'Scoring Data'!$G$1:$G$332)</f>
        <v>61</v>
      </c>
      <c r="L16">
        <f t="shared" si="0"/>
        <v>0</v>
      </c>
      <c r="P16" t="s">
        <v>25</v>
      </c>
      <c r="Q16" s="85">
        <v>407</v>
      </c>
      <c r="R16" s="85">
        <v>455</v>
      </c>
      <c r="S16" s="83">
        <v>0.89450549450549455</v>
      </c>
      <c r="T16" s="85">
        <v>91</v>
      </c>
      <c r="U16" s="85"/>
      <c r="V16">
        <f t="shared" si="3"/>
        <v>0</v>
      </c>
      <c r="W16">
        <f>+SUMIF(Table1[Project Name],Validation!P16,'Scoring Data'!$M$2:$M$331)</f>
        <v>91</v>
      </c>
      <c r="X16">
        <f t="shared" si="4"/>
        <v>0</v>
      </c>
      <c r="Y16">
        <f>+SUMIF(Table1[Project Name],Validation!P16,Table1[Overall Total])</f>
        <v>407</v>
      </c>
      <c r="Z16">
        <f t="shared" si="1"/>
        <v>0</v>
      </c>
    </row>
    <row r="17" spans="2:26" x14ac:dyDescent="0.2">
      <c r="B17" t="s">
        <v>22</v>
      </c>
      <c r="C17" t="s">
        <v>23</v>
      </c>
      <c r="D17" s="85">
        <v>13</v>
      </c>
      <c r="E17" s="85">
        <v>51</v>
      </c>
      <c r="F17" s="85">
        <v>65</v>
      </c>
      <c r="G17" s="83">
        <v>0.7846153846153846</v>
      </c>
      <c r="I17">
        <f>+COUNTIFS(Table1[Project Name],Validation!C17,Table1[Equity],"&gt;1")</f>
        <v>13</v>
      </c>
      <c r="J17">
        <f t="shared" si="2"/>
        <v>0</v>
      </c>
      <c r="K17">
        <f>+SUMIF('Scoring Data'!$B$1:$B$332,Validation!C17,'Scoring Data'!$G$1:$G$332)</f>
        <v>51</v>
      </c>
      <c r="L17">
        <f t="shared" si="0"/>
        <v>0</v>
      </c>
      <c r="O17" t="s">
        <v>22</v>
      </c>
      <c r="P17" t="s">
        <v>23</v>
      </c>
      <c r="Q17" s="85">
        <v>362</v>
      </c>
      <c r="R17" s="85">
        <v>455</v>
      </c>
      <c r="S17" s="83">
        <v>0.79560439560439555</v>
      </c>
      <c r="T17" s="85">
        <v>91</v>
      </c>
      <c r="U17" s="85"/>
      <c r="V17">
        <f t="shared" si="3"/>
        <v>0</v>
      </c>
      <c r="W17">
        <f>+SUMIF(Table1[Project Name],Validation!P17,'Scoring Data'!$M$2:$M$331)</f>
        <v>91</v>
      </c>
      <c r="X17">
        <f t="shared" si="4"/>
        <v>0</v>
      </c>
      <c r="Y17">
        <f>+SUMIF(Table1[Project Name],Validation!P17,Table1[Overall Total])</f>
        <v>362</v>
      </c>
      <c r="Z17">
        <f t="shared" si="1"/>
        <v>0</v>
      </c>
    </row>
    <row r="18" spans="2:26" x14ac:dyDescent="0.2">
      <c r="B18" t="s">
        <v>14</v>
      </c>
      <c r="C18" t="s">
        <v>15</v>
      </c>
      <c r="D18" s="85">
        <v>14</v>
      </c>
      <c r="E18" s="85">
        <v>58</v>
      </c>
      <c r="F18" s="85">
        <v>70</v>
      </c>
      <c r="G18" s="83">
        <v>0.82857142857142863</v>
      </c>
      <c r="I18">
        <f>+COUNTIFS(Table1[Project Name],Validation!C18,Table1[Equity],"&gt;1")</f>
        <v>14</v>
      </c>
      <c r="J18">
        <f t="shared" si="2"/>
        <v>0</v>
      </c>
      <c r="K18">
        <f>+SUMIF('Scoring Data'!$B$1:$B$332,Validation!C18,'Scoring Data'!$G$1:$G$332)</f>
        <v>58</v>
      </c>
      <c r="L18">
        <f t="shared" si="0"/>
        <v>0</v>
      </c>
      <c r="O18" t="s">
        <v>14</v>
      </c>
      <c r="P18" t="s">
        <v>15</v>
      </c>
      <c r="Q18" s="85">
        <v>375</v>
      </c>
      <c r="R18" s="85">
        <v>490</v>
      </c>
      <c r="S18" s="83">
        <v>0.76530612244897955</v>
      </c>
      <c r="T18" s="85">
        <v>98</v>
      </c>
      <c r="U18" s="85"/>
      <c r="V18">
        <f t="shared" si="3"/>
        <v>0</v>
      </c>
      <c r="W18">
        <f>+SUMIF(Table1[Project Name],Validation!P18,'Scoring Data'!$M$2:$M$331)</f>
        <v>98</v>
      </c>
      <c r="X18">
        <f t="shared" si="4"/>
        <v>0</v>
      </c>
      <c r="Y18">
        <f>+SUMIF(Table1[Project Name],Validation!P18,Table1[Overall Total])</f>
        <v>375</v>
      </c>
      <c r="Z18">
        <f t="shared" si="1"/>
        <v>0</v>
      </c>
    </row>
    <row r="19" spans="2:26" x14ac:dyDescent="0.2">
      <c r="B19" t="s">
        <v>20</v>
      </c>
      <c r="C19" t="s">
        <v>21</v>
      </c>
      <c r="D19" s="85">
        <v>14</v>
      </c>
      <c r="E19" s="85">
        <v>57</v>
      </c>
      <c r="F19" s="85">
        <v>70</v>
      </c>
      <c r="G19" s="83">
        <v>0.81428571428571428</v>
      </c>
      <c r="I19">
        <f>+COUNTIFS(Table1[Project Name],Validation!C19,Table1[Equity],"&gt;1")</f>
        <v>14</v>
      </c>
      <c r="J19">
        <f t="shared" si="2"/>
        <v>0</v>
      </c>
      <c r="K19">
        <f>+SUMIF('Scoring Data'!$B$1:$B$332,Validation!C19,'Scoring Data'!$G$1:$G$332)</f>
        <v>57</v>
      </c>
      <c r="L19">
        <f t="shared" si="0"/>
        <v>0</v>
      </c>
      <c r="O19" t="s">
        <v>20</v>
      </c>
      <c r="P19" t="s">
        <v>21</v>
      </c>
      <c r="Q19" s="85">
        <v>357</v>
      </c>
      <c r="R19" s="85">
        <v>490</v>
      </c>
      <c r="S19" s="83">
        <v>0.72857142857142854</v>
      </c>
      <c r="T19" s="85">
        <v>98</v>
      </c>
      <c r="U19" s="85"/>
      <c r="V19">
        <f t="shared" si="3"/>
        <v>0</v>
      </c>
      <c r="W19">
        <f>+SUMIF(Table1[Project Name],Validation!P19,'Scoring Data'!$M$2:$M$331)</f>
        <v>98</v>
      </c>
      <c r="X19">
        <f t="shared" si="4"/>
        <v>0</v>
      </c>
      <c r="Y19">
        <f>+SUMIF(Table1[Project Name],Validation!P19,Table1[Overall Total])</f>
        <v>357</v>
      </c>
      <c r="Z19">
        <f t="shared" si="1"/>
        <v>0</v>
      </c>
    </row>
    <row r="20" spans="2:26" x14ac:dyDescent="0.2">
      <c r="B20" t="s">
        <v>32</v>
      </c>
      <c r="C20" t="s">
        <v>33</v>
      </c>
      <c r="D20" s="85">
        <v>14</v>
      </c>
      <c r="E20" s="85">
        <v>63</v>
      </c>
      <c r="F20" s="85">
        <v>70</v>
      </c>
      <c r="G20" s="83">
        <v>0.9</v>
      </c>
      <c r="I20">
        <f>+COUNTIFS(Table1[Project Name],Validation!C20,Table1[Equity],"&gt;1")</f>
        <v>14</v>
      </c>
      <c r="J20">
        <f t="shared" si="2"/>
        <v>0</v>
      </c>
      <c r="K20">
        <f>+SUMIF('Scoring Data'!$B$1:$B$332,Validation!C20,'Scoring Data'!$G$1:$G$332)</f>
        <v>63</v>
      </c>
      <c r="L20">
        <f t="shared" si="0"/>
        <v>0</v>
      </c>
      <c r="O20" t="s">
        <v>32</v>
      </c>
      <c r="P20" t="s">
        <v>33</v>
      </c>
      <c r="Q20" s="85">
        <v>423</v>
      </c>
      <c r="R20" s="85">
        <v>490</v>
      </c>
      <c r="S20" s="83">
        <v>0.86326530612244901</v>
      </c>
      <c r="T20" s="85">
        <v>98</v>
      </c>
      <c r="U20" s="85"/>
      <c r="V20">
        <f t="shared" si="3"/>
        <v>0</v>
      </c>
      <c r="W20">
        <f>+SUMIF(Table1[Project Name],Validation!P20,'Scoring Data'!$M$2:$M$331)</f>
        <v>98</v>
      </c>
      <c r="X20">
        <f t="shared" si="4"/>
        <v>0</v>
      </c>
      <c r="Y20">
        <f>+SUMIF(Table1[Project Name],Validation!P20,Table1[Overall Total])</f>
        <v>423</v>
      </c>
      <c r="Z20">
        <f t="shared" si="1"/>
        <v>0</v>
      </c>
    </row>
    <row r="21" spans="2:26" x14ac:dyDescent="0.2">
      <c r="B21" t="s">
        <v>26</v>
      </c>
      <c r="C21" t="s">
        <v>27</v>
      </c>
      <c r="D21" s="85">
        <v>14</v>
      </c>
      <c r="E21" s="85">
        <v>53</v>
      </c>
      <c r="F21" s="85">
        <v>70</v>
      </c>
      <c r="G21" s="83">
        <v>0.75714285714285712</v>
      </c>
      <c r="I21">
        <f>+COUNTIFS(Table1[Project Name],Validation!C21,Table1[Equity],"&gt;1")</f>
        <v>14</v>
      </c>
      <c r="J21">
        <f t="shared" si="2"/>
        <v>0</v>
      </c>
      <c r="K21">
        <f>+SUMIF('Scoring Data'!$B$1:$B$332,Validation!C21,'Scoring Data'!$G$1:$G$332)</f>
        <v>53</v>
      </c>
      <c r="L21">
        <f t="shared" si="0"/>
        <v>0</v>
      </c>
      <c r="O21" t="s">
        <v>26</v>
      </c>
      <c r="P21" t="s">
        <v>27</v>
      </c>
      <c r="Q21" s="85">
        <v>367</v>
      </c>
      <c r="R21" s="85">
        <v>490</v>
      </c>
      <c r="S21" s="83">
        <v>0.74897959183673468</v>
      </c>
      <c r="T21" s="85">
        <v>98</v>
      </c>
      <c r="U21" s="85"/>
      <c r="V21">
        <f t="shared" si="3"/>
        <v>0</v>
      </c>
      <c r="W21">
        <f>+SUMIF(Table1[Project Name],Validation!P21,'Scoring Data'!$M$2:$M$331)</f>
        <v>98</v>
      </c>
      <c r="X21">
        <f t="shared" si="4"/>
        <v>0</v>
      </c>
      <c r="Y21">
        <f>+SUMIF(Table1[Project Name],Validation!P21,Table1[Overall Total])</f>
        <v>367</v>
      </c>
      <c r="Z21">
        <f t="shared" si="1"/>
        <v>0</v>
      </c>
    </row>
    <row r="22" spans="2:26" x14ac:dyDescent="0.2">
      <c r="B22" t="s">
        <v>36</v>
      </c>
      <c r="C22" t="s">
        <v>37</v>
      </c>
      <c r="D22" s="85">
        <v>14</v>
      </c>
      <c r="E22" s="85">
        <v>61</v>
      </c>
      <c r="F22" s="85">
        <v>70</v>
      </c>
      <c r="G22" s="83">
        <v>0.87142857142857144</v>
      </c>
      <c r="I22">
        <f>+COUNTIFS(Table1[Project Name],Validation!C22,Table1[Equity],"&gt;1")</f>
        <v>14</v>
      </c>
      <c r="J22">
        <f t="shared" si="2"/>
        <v>0</v>
      </c>
      <c r="K22">
        <f>+SUMIF('Scoring Data'!$B$1:$B$332,Validation!C22,'Scoring Data'!$G$1:$G$332)</f>
        <v>61</v>
      </c>
      <c r="L22">
        <f t="shared" si="0"/>
        <v>0</v>
      </c>
      <c r="O22" t="s">
        <v>36</v>
      </c>
      <c r="P22" t="s">
        <v>37</v>
      </c>
      <c r="Q22" s="85">
        <v>406</v>
      </c>
      <c r="R22" s="85">
        <v>490</v>
      </c>
      <c r="S22" s="83">
        <v>0.82857142857142863</v>
      </c>
      <c r="T22" s="85">
        <v>98</v>
      </c>
      <c r="U22" s="85"/>
      <c r="V22">
        <f t="shared" si="3"/>
        <v>0</v>
      </c>
      <c r="W22">
        <f>+SUMIF(Table1[Project Name],Validation!P22,'Scoring Data'!$M$2:$M$331)</f>
        <v>98</v>
      </c>
      <c r="X22">
        <f t="shared" si="4"/>
        <v>0</v>
      </c>
      <c r="Y22">
        <f>+SUMIF(Table1[Project Name],Validation!P22,Table1[Overall Total])</f>
        <v>406</v>
      </c>
      <c r="Z22">
        <f t="shared" si="1"/>
        <v>0</v>
      </c>
    </row>
    <row r="23" spans="2:26" x14ac:dyDescent="0.2">
      <c r="B23" t="s">
        <v>34</v>
      </c>
      <c r="C23" t="s">
        <v>35</v>
      </c>
      <c r="D23" s="85">
        <v>14</v>
      </c>
      <c r="E23" s="85">
        <v>48</v>
      </c>
      <c r="F23" s="85">
        <v>70</v>
      </c>
      <c r="G23" s="83">
        <v>0.68571428571428572</v>
      </c>
      <c r="I23">
        <f>+COUNTIFS(Table1[Project Name],Validation!C23,Table1[Equity],"&gt;1")</f>
        <v>14</v>
      </c>
      <c r="J23">
        <f t="shared" si="2"/>
        <v>0</v>
      </c>
      <c r="K23">
        <f>+SUMIF('Scoring Data'!$B$1:$B$332,Validation!C23,'Scoring Data'!$G$1:$G$332)</f>
        <v>48</v>
      </c>
      <c r="L23">
        <f t="shared" si="0"/>
        <v>0</v>
      </c>
      <c r="O23" t="s">
        <v>34</v>
      </c>
      <c r="P23" t="s">
        <v>35</v>
      </c>
      <c r="Q23" s="85">
        <v>368</v>
      </c>
      <c r="R23" s="85">
        <v>490</v>
      </c>
      <c r="S23" s="83">
        <v>0.75102040816326532</v>
      </c>
      <c r="T23" s="85">
        <v>98</v>
      </c>
      <c r="U23" s="85"/>
      <c r="V23">
        <f t="shared" si="3"/>
        <v>0</v>
      </c>
      <c r="W23">
        <f>+SUMIF(Table1[Project Name],Validation!P23,'Scoring Data'!$M$2:$M$331)</f>
        <v>98</v>
      </c>
      <c r="X23">
        <f t="shared" si="4"/>
        <v>0</v>
      </c>
      <c r="Y23">
        <f>+SUMIF(Table1[Project Name],Validation!P23,Table1[Overall Total])</f>
        <v>368</v>
      </c>
      <c r="Z23">
        <f t="shared" si="1"/>
        <v>0</v>
      </c>
    </row>
    <row r="24" spans="2:26" x14ac:dyDescent="0.2">
      <c r="B24" t="s">
        <v>30</v>
      </c>
      <c r="C24" t="s">
        <v>31</v>
      </c>
      <c r="D24" s="85">
        <v>14</v>
      </c>
      <c r="E24" s="85">
        <v>52</v>
      </c>
      <c r="F24" s="85">
        <v>70</v>
      </c>
      <c r="G24" s="83">
        <v>0.74285714285714288</v>
      </c>
      <c r="I24">
        <f>+COUNTIFS(Table1[Project Name],Validation!C24,Table1[Equity],"&gt;1")</f>
        <v>14</v>
      </c>
      <c r="J24">
        <f t="shared" si="2"/>
        <v>0</v>
      </c>
      <c r="K24">
        <f>+SUMIF('Scoring Data'!$B$1:$B$332,Validation!C24,'Scoring Data'!$G$1:$G$332)</f>
        <v>52</v>
      </c>
      <c r="L24">
        <f t="shared" si="0"/>
        <v>0</v>
      </c>
      <c r="O24" t="s">
        <v>30</v>
      </c>
      <c r="P24" t="s">
        <v>31</v>
      </c>
      <c r="Q24" s="85">
        <v>405</v>
      </c>
      <c r="R24" s="85">
        <v>490</v>
      </c>
      <c r="S24" s="83">
        <v>0.82653061224489799</v>
      </c>
      <c r="T24" s="85">
        <v>98</v>
      </c>
      <c r="U24" s="85"/>
      <c r="V24">
        <f t="shared" si="3"/>
        <v>0</v>
      </c>
      <c r="W24">
        <f>+SUMIF(Table1[Project Name],Validation!P24,'Scoring Data'!$M$2:$M$331)</f>
        <v>98</v>
      </c>
      <c r="X24">
        <f t="shared" si="4"/>
        <v>0</v>
      </c>
      <c r="Y24">
        <f>+SUMIF(Table1[Project Name],Validation!P24,Table1[Overall Total])</f>
        <v>405</v>
      </c>
      <c r="Z24">
        <f t="shared" si="1"/>
        <v>0</v>
      </c>
    </row>
    <row r="25" spans="2:26" x14ac:dyDescent="0.2">
      <c r="B25" t="s">
        <v>38</v>
      </c>
      <c r="C25" t="s">
        <v>39</v>
      </c>
      <c r="D25" s="85">
        <v>14</v>
      </c>
      <c r="E25" s="85">
        <v>67</v>
      </c>
      <c r="F25" s="85">
        <v>70</v>
      </c>
      <c r="G25" s="83">
        <v>0.95714285714285718</v>
      </c>
      <c r="I25">
        <f>+COUNTIFS(Table1[Project Name],Validation!C25,Table1[Equity],"&gt;1")</f>
        <v>14</v>
      </c>
      <c r="J25">
        <f t="shared" si="2"/>
        <v>0</v>
      </c>
      <c r="K25">
        <f>+SUMIF('Scoring Data'!$B$1:$B$332,Validation!C25,'Scoring Data'!$G$1:$G$332)</f>
        <v>67</v>
      </c>
      <c r="L25">
        <f t="shared" si="0"/>
        <v>0</v>
      </c>
      <c r="O25" t="s">
        <v>38</v>
      </c>
      <c r="P25" t="s">
        <v>39</v>
      </c>
      <c r="Q25" s="85">
        <v>435</v>
      </c>
      <c r="R25" s="85">
        <v>490</v>
      </c>
      <c r="S25" s="83">
        <v>0.88775510204081631</v>
      </c>
      <c r="T25" s="85">
        <v>98</v>
      </c>
      <c r="U25" s="85"/>
      <c r="V25">
        <f t="shared" si="3"/>
        <v>0</v>
      </c>
      <c r="W25">
        <f>+SUMIF(Table1[Project Name],Validation!P25,'Scoring Data'!$M$2:$M$331)</f>
        <v>98</v>
      </c>
      <c r="X25">
        <f t="shared" si="4"/>
        <v>0</v>
      </c>
      <c r="Y25">
        <f>+SUMIF(Table1[Project Name],Validation!P25,Table1[Overall Total])</f>
        <v>435</v>
      </c>
      <c r="Z25">
        <f t="shared" si="1"/>
        <v>0</v>
      </c>
    </row>
    <row r="26" spans="2:26" x14ac:dyDescent="0.2">
      <c r="B26" t="s">
        <v>59</v>
      </c>
      <c r="C26" t="s">
        <v>50</v>
      </c>
      <c r="D26" s="85">
        <v>13</v>
      </c>
      <c r="E26" s="85">
        <v>57</v>
      </c>
      <c r="F26" s="85">
        <v>65</v>
      </c>
      <c r="G26" s="83">
        <v>0.87692307692307692</v>
      </c>
      <c r="I26">
        <f>+COUNTIFS(Table1[Project Name],Validation!C26,Table1[Equity],"&gt;1")</f>
        <v>13</v>
      </c>
      <c r="J26">
        <f t="shared" si="2"/>
        <v>0</v>
      </c>
      <c r="K26">
        <f>+SUMIF('Scoring Data'!$B$1:$B$332,Validation!C26,'Scoring Data'!$G$1:$G$332)</f>
        <v>57</v>
      </c>
      <c r="L26">
        <f t="shared" si="0"/>
        <v>0</v>
      </c>
      <c r="O26" t="s">
        <v>59</v>
      </c>
      <c r="P26" t="s">
        <v>50</v>
      </c>
      <c r="Q26" s="85">
        <v>385</v>
      </c>
      <c r="R26" s="85">
        <v>455</v>
      </c>
      <c r="S26" s="83">
        <v>0.84615384615384615</v>
      </c>
      <c r="T26" s="85">
        <v>91</v>
      </c>
      <c r="U26" s="85"/>
      <c r="V26">
        <f t="shared" si="3"/>
        <v>0</v>
      </c>
      <c r="W26">
        <f>+SUMIF(Table1[Project Name],Validation!P26,'Scoring Data'!$M$2:$M$331)</f>
        <v>91</v>
      </c>
      <c r="X26">
        <f t="shared" si="4"/>
        <v>0</v>
      </c>
      <c r="Y26">
        <f>+SUMIF(Table1[Project Name],Validation!P26,Table1[Overall Total])</f>
        <v>385</v>
      </c>
      <c r="Z26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B1" zoomScaleNormal="100" workbookViewId="0">
      <selection activeCell="P42" sqref="P42"/>
    </sheetView>
  </sheetViews>
  <sheetFormatPr defaultRowHeight="12.75" x14ac:dyDescent="0.2"/>
  <cols>
    <col min="1" max="1" width="95.140625" customWidth="1"/>
    <col min="2" max="2" width="90.5703125" customWidth="1"/>
    <col min="3" max="3" width="14.85546875" customWidth="1"/>
    <col min="4" max="4" width="16.140625" customWidth="1"/>
    <col min="5" max="5" width="95" customWidth="1"/>
  </cols>
  <sheetData>
    <row r="1" spans="1:5" ht="15.75" x14ac:dyDescent="0.2">
      <c r="A1" s="6" t="s">
        <v>51</v>
      </c>
    </row>
    <row r="3" spans="1:5" x14ac:dyDescent="0.2">
      <c r="A3" s="1" t="s">
        <v>0</v>
      </c>
      <c r="B3" s="1" t="s">
        <v>1</v>
      </c>
      <c r="C3" s="1" t="s">
        <v>52</v>
      </c>
      <c r="D3" s="1" t="s">
        <v>53</v>
      </c>
      <c r="E3" s="1" t="s">
        <v>54</v>
      </c>
    </row>
    <row r="4" spans="1:5" s="10" customFormat="1" x14ac:dyDescent="0.2">
      <c r="A4" s="19" t="s">
        <v>11</v>
      </c>
      <c r="B4" s="7" t="s">
        <v>12</v>
      </c>
      <c r="C4" s="8">
        <v>159000</v>
      </c>
      <c r="D4" s="9">
        <v>693288</v>
      </c>
      <c r="E4" s="10" t="s">
        <v>96</v>
      </c>
    </row>
    <row r="5" spans="1:5" s="10" customFormat="1" x14ac:dyDescent="0.2">
      <c r="A5" s="19" t="s">
        <v>28</v>
      </c>
      <c r="B5" s="7" t="s">
        <v>29</v>
      </c>
      <c r="C5" s="8"/>
      <c r="D5" s="9">
        <v>75000</v>
      </c>
    </row>
    <row r="6" spans="1:5" s="10" customFormat="1" x14ac:dyDescent="0.2">
      <c r="A6" s="17" t="s">
        <v>16</v>
      </c>
      <c r="B6" t="s">
        <v>60</v>
      </c>
      <c r="C6" s="8">
        <v>98644</v>
      </c>
      <c r="D6" s="9">
        <v>143160</v>
      </c>
    </row>
    <row r="7" spans="1:5" s="10" customFormat="1" x14ac:dyDescent="0.2">
      <c r="A7" s="18" t="s">
        <v>43</v>
      </c>
      <c r="B7" t="s">
        <v>62</v>
      </c>
      <c r="C7" s="8">
        <v>138019</v>
      </c>
      <c r="D7" s="9">
        <v>179483</v>
      </c>
    </row>
    <row r="8" spans="1:5" s="10" customFormat="1" x14ac:dyDescent="0.2">
      <c r="A8" s="18" t="s">
        <v>43</v>
      </c>
      <c r="B8" t="s">
        <v>63</v>
      </c>
      <c r="C8" s="8">
        <v>15882</v>
      </c>
      <c r="D8" s="9">
        <v>28926</v>
      </c>
    </row>
    <row r="9" spans="1:5" s="10" customFormat="1" x14ac:dyDescent="0.2">
      <c r="A9" s="18" t="s">
        <v>43</v>
      </c>
      <c r="B9" t="s">
        <v>61</v>
      </c>
      <c r="C9" s="8">
        <v>153000</v>
      </c>
      <c r="D9" s="9">
        <v>153000</v>
      </c>
    </row>
    <row r="10" spans="1:5" s="10" customFormat="1" x14ac:dyDescent="0.2">
      <c r="A10" s="17" t="s">
        <v>41</v>
      </c>
      <c r="B10" t="s">
        <v>42</v>
      </c>
      <c r="C10" s="8">
        <v>450000</v>
      </c>
      <c r="D10" s="9">
        <v>1000000</v>
      </c>
      <c r="E10" s="10" t="s">
        <v>55</v>
      </c>
    </row>
    <row r="11" spans="1:5" s="10" customFormat="1" x14ac:dyDescent="0.2">
      <c r="A11" s="17" t="s">
        <v>18</v>
      </c>
      <c r="B11" t="s">
        <v>19</v>
      </c>
      <c r="C11" s="8">
        <v>36729</v>
      </c>
      <c r="D11" s="9">
        <v>36000</v>
      </c>
    </row>
    <row r="12" spans="1:5" s="10" customFormat="1" x14ac:dyDescent="0.2">
      <c r="A12" s="18" t="s">
        <v>24</v>
      </c>
      <c r="B12" t="s">
        <v>25</v>
      </c>
      <c r="C12" s="8"/>
      <c r="D12" s="9">
        <v>4999.34</v>
      </c>
    </row>
    <row r="13" spans="1:5" s="10" customFormat="1" x14ac:dyDescent="0.2">
      <c r="A13" s="18" t="s">
        <v>24</v>
      </c>
      <c r="B13" t="s">
        <v>40</v>
      </c>
      <c r="C13" s="8">
        <v>138262</v>
      </c>
      <c r="D13" s="9">
        <v>138262</v>
      </c>
    </row>
    <row r="14" spans="1:5" s="10" customFormat="1" x14ac:dyDescent="0.2">
      <c r="A14" s="18" t="s">
        <v>24</v>
      </c>
      <c r="B14" t="s">
        <v>45</v>
      </c>
      <c r="C14" s="8">
        <v>234675</v>
      </c>
      <c r="D14" s="9">
        <v>529389</v>
      </c>
    </row>
    <row r="15" spans="1:5" s="10" customFormat="1" x14ac:dyDescent="0.2">
      <c r="A15" s="18" t="s">
        <v>24</v>
      </c>
      <c r="B15" t="s">
        <v>47</v>
      </c>
      <c r="C15" s="8"/>
      <c r="D15" s="9">
        <v>392109</v>
      </c>
    </row>
    <row r="16" spans="1:5" s="10" customFormat="1" x14ac:dyDescent="0.2">
      <c r="A16" s="17" t="s">
        <v>22</v>
      </c>
      <c r="B16" t="s">
        <v>23</v>
      </c>
      <c r="C16" s="8">
        <v>106384</v>
      </c>
      <c r="D16" s="9">
        <v>111028</v>
      </c>
    </row>
    <row r="17" spans="1:4" s="10" customFormat="1" x14ac:dyDescent="0.2">
      <c r="A17" s="17" t="s">
        <v>14</v>
      </c>
      <c r="B17" t="s">
        <v>15</v>
      </c>
      <c r="C17" s="8"/>
      <c r="D17" s="9">
        <v>163100</v>
      </c>
    </row>
    <row r="18" spans="1:4" s="10" customFormat="1" x14ac:dyDescent="0.2">
      <c r="A18" s="17" t="s">
        <v>20</v>
      </c>
      <c r="B18" t="s">
        <v>21</v>
      </c>
      <c r="C18" s="8"/>
      <c r="D18" s="9">
        <v>99100</v>
      </c>
    </row>
    <row r="19" spans="1:4" s="10" customFormat="1" x14ac:dyDescent="0.2">
      <c r="A19" s="17" t="s">
        <v>32</v>
      </c>
      <c r="B19" t="s">
        <v>33</v>
      </c>
      <c r="C19" s="8">
        <v>97706</v>
      </c>
      <c r="D19" s="9">
        <v>204140.29</v>
      </c>
    </row>
    <row r="20" spans="1:4" s="10" customFormat="1" x14ac:dyDescent="0.2">
      <c r="A20" s="17" t="s">
        <v>26</v>
      </c>
      <c r="B20" t="s">
        <v>27</v>
      </c>
      <c r="C20" s="8"/>
      <c r="D20" s="9">
        <v>111848.2</v>
      </c>
    </row>
    <row r="21" spans="1:4" s="10" customFormat="1" x14ac:dyDescent="0.2">
      <c r="A21" s="17" t="s">
        <v>36</v>
      </c>
      <c r="B21" t="s">
        <v>37</v>
      </c>
      <c r="C21" s="8"/>
      <c r="D21" s="9">
        <v>73140</v>
      </c>
    </row>
    <row r="22" spans="1:4" s="10" customFormat="1" x14ac:dyDescent="0.2">
      <c r="A22" s="17" t="s">
        <v>34</v>
      </c>
      <c r="B22" t="s">
        <v>35</v>
      </c>
      <c r="C22" s="8">
        <v>183508</v>
      </c>
      <c r="D22" s="9">
        <v>207508</v>
      </c>
    </row>
    <row r="23" spans="1:4" s="10" customFormat="1" x14ac:dyDescent="0.2">
      <c r="A23" s="17" t="s">
        <v>30</v>
      </c>
      <c r="B23" t="s">
        <v>31</v>
      </c>
      <c r="C23" s="8">
        <v>331945</v>
      </c>
      <c r="D23" s="9">
        <v>173000</v>
      </c>
    </row>
    <row r="24" spans="1:4" s="10" customFormat="1" x14ac:dyDescent="0.2">
      <c r="A24" s="17" t="s">
        <v>38</v>
      </c>
      <c r="B24" t="s">
        <v>39</v>
      </c>
      <c r="C24" s="8">
        <v>250000</v>
      </c>
      <c r="D24" s="9">
        <v>375000</v>
      </c>
    </row>
    <row r="25" spans="1:4" s="10" customFormat="1" x14ac:dyDescent="0.2">
      <c r="A25" s="17" t="s">
        <v>59</v>
      </c>
      <c r="B25" t="s">
        <v>50</v>
      </c>
      <c r="C25" s="11"/>
      <c r="D25" s="9">
        <v>30000</v>
      </c>
    </row>
    <row r="27" spans="1:4" x14ac:dyDescent="0.2">
      <c r="B27" s="12" t="s">
        <v>57</v>
      </c>
      <c r="C27" s="20">
        <f>SUM(C4:C26)</f>
        <v>2393754</v>
      </c>
      <c r="D27" s="20">
        <f>SUM(D4:D26)</f>
        <v>4921480.83</v>
      </c>
    </row>
    <row r="29" spans="1:4" x14ac:dyDescent="0.2">
      <c r="B29" s="13"/>
      <c r="C29" s="13"/>
      <c r="D29" s="14"/>
    </row>
    <row r="30" spans="1:4" x14ac:dyDescent="0.2">
      <c r="A30" s="15" t="s">
        <v>58</v>
      </c>
      <c r="B30" s="16"/>
      <c r="C30" s="13"/>
      <c r="D30" s="14"/>
    </row>
  </sheetData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S c o r e s _ e 2 9 a 0 e 4 4 - 0 1 a 8 - 4 e f c - a 9 1 6 - 3 0 1 c c 9 b a 4 4 4 3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 / & g t ; & l t ; C o l u m n W i d t h s & g t ; & l t ; i t e m & g t ; & l t ; k e y & g t ; & l t ; s t r i n g & g t ; O r g a n i z a t i o n   N a m e & l t ; / s t r i n g & g t ; & l t ; / k e y & g t ; & l t ; v a l u e & g t ; & l t ; i n t & g t ; 1 6 1 & l t ; / i n t & g t ; & l t ; / v a l u e & g t ; & l t ; / i t e m & g t ; & l t ; i t e m & g t ; & l t ; k e y & g t ; & l t ; s t r i n g & g t ; P r o j e c t   N a m e & l t ; / s t r i n g & g t ; & l t ; / k e y & g t ; & l t ; v a l u e & g t ; & l t ; i n t & g t ; 1 2 4 & l t ; / i n t & g t ; & l t ; / v a l u e & g t ; & l t ; / i t e m & g t ; & l t ; i t e m & g t ; & l t ; k e y & g t ; & l t ; s t r i n g & g t ; N e e d & l t ; / s t r i n g & g t ; & l t ; / k e y & g t ; & l t ; v a l u e & g t ; & l t ; i n t & g t ; 1 3 0 & l t ; / i n t & g t ; & l t ; / v a l u e & g t ; & l t ; / i t e m & g t ; & l t ; i t e m & g t ; & l t ; k e y & g t ; & l t ; s t r i n g & g t ; P r o j e c t   P l a n & l t ; / s t r i n g & g t ; & l t ; / k e y & g t ; & l t ; v a l u e & g t ; & l t ; i n t & g t ; 1 1 4 & l t ; / i n t & g t ; & l t ; / v a l u e & g t ; & l t ; / i t e m & g t ; & l t ; i t e m & g t ; & l t ; k e y & g t ; & l t ; s t r i n g & g t ; P r o p o s e d   R e s u l t s & l t ; / s t r i n g & g t ; & l t ; / k e y & g t ; & l t ; v a l u e & g t ; & l t ; i n t & g t ; 1 5 2 & l t ; / i n t & g t ; & l t ; / v a l u e & g t ; & l t ; / i t e m & g t ; & l t ; i t e m & g t ; & l t ; k e y & g t ; & l t ; s t r i n g & g t ; C a p a c i t y & l t ; / s t r i n g & g t ; & l t ; / k e y & g t ; & l t ; v a l u e & g t ; & l t ; i n t & g t ; 1 4 2 & l t ; / i n t & g t ; & l t ; / v a l u e & g t ; & l t ; / i t e m & g t ; & l t ; i t e m & g t ; & l t ; k e y & g t ; & l t ; s t r i n g & g t ; E q u i t y & l t ; / s t r i n g & g t ; & l t ; / k e y & g t ; & l t ; v a l u e & g t ; & l t ; i n t & g t ; 1 5 9 & l t ; / i n t & g t ; & l t ; / v a l u e & g t ; & l t ; / i t e m & g t ; & l t ; i t e m & g t ; & l t ; k e y & g t ; & l t ; s t r i n g & g t ; B u d g e t & l t ; / s t r i n g & g t ; & l t ; / k e y & g t ; & l t ; v a l u e & g t ; & l t ; i n t & g t ; 1 3 2 & l t ; / i n t & g t ; & l t ; / v a l u e & g t ; & l t ; / i t e m & g t ; & l t ; i t e m & g t ; & l t ; k e y & g t ; & l t ; s t r i n g & g t ; O v e r a l l & l t ; / s t r i n g & g t ; & l t ; / k e y & g t ; & l t ; v a l u e & g t ; & l t ; i n t & g t ; 1 3 2 & l t ; / i n t & g t ; & l t ; / v a l u e & g t ; & l t ; / i t e m & g t ; & l t ; i t e m & g t ; & l t ; k e y & g t ; & l t ; s t r i n g & g t ; T o t a l   P o i n t s & l t ; / s t r i n g & g t ; & l t ; / k e y & g t ; & l t ; v a l u e & g t ; & l t ; i n t & g t ; 1 1 0 & l t ; / i n t & g t ; & l t ; / v a l u e & g t ; & l t ; / i t e m & g t ; & l t ; i t e m & g t ; & l t ; k e y & g t ; & l t ; s t r i n g & g t ; S c o r e   P e r c e n t a g e & l t ; / s t r i n g & g t ; & l t ; / k e y & g t ; & l t ; v a l u e & g t ; & l t ; i n t & g t ; 1 5 3 & l t ; / i n t & g t ; & l t ; / v a l u e & g t ; & l t ; / i t e m & g t ; & l t ; i t e m & g t ; & l t ; k e y & g t ; & l t ; s t r i n g & g t ; L o o k u p K e y & l t ; / s t r i n g & g t ; & l t ; / k e y & g t ; & l t ; v a l u e & g t ; & l t ; i n t & g t ; 7 9 5 & l t ; / i n t & g t ; & l t ; / v a l u e & g t ; & l t ; / i t e m & g t ; & l t ; i t e m & g t ; & l t ; k e y & g t ; & l t ; s t r i n g & g t ; F Y 2 2   R e q u e s t & l t ; / s t r i n g & g t ; & l t ; / k e y & g t ; & l t ; v a l u e & g t ; & l t ; i n t & g t ; 1 2 8 & l t ; / i n t & g t ; & l t ; / v a l u e & g t ; & l t ; / i t e m & g t ; & l t ; i t e m & g t ; & l t ; k e y & g t ; & l t ; s t r i n g & g t ; F Y 2 1   G r a n t   $ ' s & l t ; / s t r i n g & g t ; & l t ; / k e y & g t ; & l t ; v a l u e & g t ; & l t ; i n t & g t ; 1 4 8 & l t ; / i n t & g t ; & l t ; / v a l u e & g t ; & l t ; / i t e m & g t ; & l t ; i t e m & g t ; & l t ; k e y & g t ; & l t ; s t r i n g & g t ; T o t a l   P t s   C a l c & l t ; / s t r i n g & g t ; & l t ; / k e y & g t ; & l t ; v a l u e & g t ; & l t ; i n t & g t ; 1 2 5 & l t ; / i n t & g t ; & l t ; / v a l u e & g t ; & l t ; / i t e m & g t ; & l t ; i t e m & g t ; & l t ; k e y & g t ; & l t ; s t r i n g & g t ; M a x   P o s s i b l e   P t s & l t ; / s t r i n g & g t ; & l t ; / k e y & g t ; & l t ; v a l u e & g t ; & l t ; i n t & g t ; 1 4 7 & l t ; / i n t & g t ; & l t ; / v a l u e & g t ; & l t ; / i t e m & g t ; & l t ; i t e m & g t ; & l t ; k e y & g t ; & l t ; s t r i n g & g t ; S c o r i n g   C o u n t & l t ; / s t r i n g & g t ; & l t ; / k e y & g t ; & l t ; v a l u e & g t ; & l t ; i n t & g t ; 1 4 7 & l t ; / i n t & g t ; & l t ; / v a l u e & g t ; & l t ; / i t e m & g t ; & l t ; / C o l u m n W i d t h s & g t ; & l t ; C o l u m n D i s p l a y I n d e x & g t ; & l t ; i t e m & g t ; & l t ; k e y & g t ; & l t ; s t r i n g & g t ; O r g a n i z a t i o n   N a m e & l t ; / s t r i n g & g t ; & l t ; / k e y & g t ; & l t ; v a l u e & g t ; & l t ; i n t & g t ; 0 & l t ; / i n t & g t ; & l t ; / v a l u e & g t ; & l t ; / i t e m & g t ; & l t ; i t e m & g t ; & l t ; k e y & g t ; & l t ; s t r i n g & g t ; P r o j e c t   N a m e & l t ; / s t r i n g & g t ; & l t ; / k e y & g t ; & l t ; v a l u e & g t ; & l t ; i n t & g t ; 1 & l t ; / i n t & g t ; & l t ; / v a l u e & g t ; & l t ; / i t e m & g t ; & l t ; i t e m & g t ; & l t ; k e y & g t ; & l t ; s t r i n g & g t ; N e e d & l t ; / s t r i n g & g t ; & l t ; / k e y & g t ; & l t ; v a l u e & g t ; & l t ; i n t & g t ; 2 & l t ; / i n t & g t ; & l t ; / v a l u e & g t ; & l t ; / i t e m & g t ; & l t ; i t e m & g t ; & l t ; k e y & g t ; & l t ; s t r i n g & g t ; P r o j e c t   P l a n & l t ; / s t r i n g & g t ; & l t ; / k e y & g t ; & l t ; v a l u e & g t ; & l t ; i n t & g t ; 3 & l t ; / i n t & g t ; & l t ; / v a l u e & g t ; & l t ; / i t e m & g t ; & l t ; i t e m & g t ; & l t ; k e y & g t ; & l t ; s t r i n g & g t ; P r o p o s e d   R e s u l t s & l t ; / s t r i n g & g t ; & l t ; / k e y & g t ; & l t ; v a l u e & g t ; & l t ; i n t & g t ; 4 & l t ; / i n t & g t ; & l t ; / v a l u e & g t ; & l t ; / i t e m & g t ; & l t ; i t e m & g t ; & l t ; k e y & g t ; & l t ; s t r i n g & g t ; C a p a c i t y & l t ; / s t r i n g & g t ; & l t ; / k e y & g t ; & l t ; v a l u e & g t ; & l t ; i n t & g t ; 5 & l t ; / i n t & g t ; & l t ; / v a l u e & g t ; & l t ; / i t e m & g t ; & l t ; i t e m & g t ; & l t ; k e y & g t ; & l t ; s t r i n g & g t ; E q u i t y & l t ; / s t r i n g & g t ; & l t ; / k e y & g t ; & l t ; v a l u e & g t ; & l t ; i n t & g t ; 6 & l t ; / i n t & g t ; & l t ; / v a l u e & g t ; & l t ; / i t e m & g t ; & l t ; i t e m & g t ; & l t ; k e y & g t ; & l t ; s t r i n g & g t ; B u d g e t & l t ; / s t r i n g & g t ; & l t ; / k e y & g t ; & l t ; v a l u e & g t ; & l t ; i n t & g t ; 7 & l t ; / i n t & g t ; & l t ; / v a l u e & g t ; & l t ; / i t e m & g t ; & l t ; i t e m & g t ; & l t ; k e y & g t ; & l t ; s t r i n g & g t ; O v e r a l l & l t ; / s t r i n g & g t ; & l t ; / k e y & g t ; & l t ; v a l u e & g t ; & l t ; i n t & g t ; 8 & l t ; / i n t & g t ; & l t ; / v a l u e & g t ; & l t ; / i t e m & g t ; & l t ; i t e m & g t ; & l t ; k e y & g t ; & l t ; s t r i n g & g t ; T o t a l   P o i n t s & l t ; / s t r i n g & g t ; & l t ; / k e y & g t ; & l t ; v a l u e & g t ; & l t ; i n t & g t ; 9 & l t ; / i n t & g t ; & l t ; / v a l u e & g t ; & l t ; / i t e m & g t ; & l t ; i t e m & g t ; & l t ; k e y & g t ; & l t ; s t r i n g & g t ; S c o r e   P e r c e n t a g e & l t ; / s t r i n g & g t ; & l t ; / k e y & g t ; & l t ; v a l u e & g t ; & l t ; i n t & g t ; 1 0 & l t ; / i n t & g t ; & l t ; / v a l u e & g t ; & l t ; / i t e m & g t ; & l t ; i t e m & g t ; & l t ; k e y & g t ; & l t ; s t r i n g & g t ; L o o k u p K e y & l t ; / s t r i n g & g t ; & l t ; / k e y & g t ; & l t ; v a l u e & g t ; & l t ; i n t & g t ; 1 1 & l t ; / i n t & g t ; & l t ; / v a l u e & g t ; & l t ; / i t e m & g t ; & l t ; i t e m & g t ; & l t ; k e y & g t ; & l t ; s t r i n g & g t ; F Y 2 2   R e q u e s t & l t ; / s t r i n g & g t ; & l t ; / k e y & g t ; & l t ; v a l u e & g t ; & l t ; i n t & g t ; 1 3 & l t ; / i n t & g t ; & l t ; / v a l u e & g t ; & l t ; / i t e m & g t ; & l t ; i t e m & g t ; & l t ; k e y & g t ; & l t ; s t r i n g & g t ; F Y 2 1   G r a n t   $ ' s & l t ; / s t r i n g & g t ; & l t ; / k e y & g t ; & l t ; v a l u e & g t ; & l t ; i n t & g t ; 1 2 & l t ; / i n t & g t ; & l t ; / v a l u e & g t ; & l t ; / i t e m & g t ; & l t ; i t e m & g t ; & l t ; k e y & g t ; & l t ; s t r i n g & g t ; T o t a l   P t s   C a l c & l t ; / s t r i n g & g t ; & l t ; / k e y & g t ; & l t ; v a l u e & g t ; & l t ; i n t & g t ; 1 4 & l t ; / i n t & g t ; & l t ; / v a l u e & g t ; & l t ; / i t e m & g t ; & l t ; i t e m & g t ; & l t ; k e y & g t ; & l t ; s t r i n g & g t ; M a x   P o s s i b l e   P t s & l t ; / s t r i n g & g t ; & l t ; / k e y & g t ; & l t ; v a l u e & g t ; & l t ; i n t & g t ; 1 6 & l t ; / i n t & g t ; & l t ; / v a l u e & g t ; & l t ; / i t e m & g t ; & l t ; i t e m & g t ; & l t ; k e y & g t ; & l t ; s t r i n g & g t ; S c o r i n g   C o u n t & l t ; / s t r i n g & g t ; & l t ; / k e y & g t ; & l t ; v a l u e & g t ; & l t ; i n t & g t ; 1 5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 / & g t ; & l t ; C o l u m n F i l t e r & g t ; & l t ; i t e m & g t ; & l t ; k e y & g t ; & l t ; s t r i n g & g t ; E q u i t y & l t ; / s t r i n g & g t ; & l t ; / k e y & g t ; & l t ; v a l u e & g t ; & l t ; F i l t e r E x p r e s s i o n 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 / & g t ; & l t ; / v a l u e & g t ; & l t ; / i t e m & g t ; & l t ; i t e m & g t ; & l t ; k e y & g t ; & l t ; s t r i n g & g t ; P r o j e c t   N a m e & l t ; / s t r i n g & g t ; & l t ; / k e y & g t ; & l t ; v a l u e & g t ; & l t ; F i l t e r E x p r e s s i o n 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 / & g t ; & l t ; / v a l u e & g t ; & l t ; / i t e m & g t ; & l t ; i t e m & g t ; & l t ; k e y & g t ; & l t ; s t r i n g & g t ; O r g a n i z a t i o n   N a m e & l t ; / s t r i n g & g t ; & l t ; / k e y & g t ; & l t ; v a l u e & g t ; & l t ; F i l t e r E x p r e s s i o n 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E q u i t y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 / & g t ; & l t ; / v a l u e & g t ; & l t ; / i t e m & g t ; & l t ; i t e m & g t ; & l t ; k e y & g t ; & l t ; s t r i n g & g t ; P r o j e c t   N a m e & l t ; / s t r i n g & g t ; & l t ; / k e y & g t ; & l t ; v a l u e & g t ; & l t ; S e l e c t i o n F i l t e r 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 / & g t ; & l t ; / v a l u e & g t ; & l t ; / i t e m & g t ; & l t ; i t e m & g t ; & l t ; k e y & g t ; & l t ; s t r i n g & g t ; O r g a n i z a t i o n   N a m e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 x s i : t y p e = " x s d : s t r i n g " & g t ; A s h e v i l l e   C i t y   S c h o o l s & l t ; / a n y T y p e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E q u i t y & l t ; / s t r i n g & g t ; & l t ; / k e y & g t ; & l t ; v a l u e & g t ; & l t ; C o m m a n d P a r a m e t e r s   / & g t ; & l t ; / v a l u e & g t ; & l t ; / i t e m & g t ; & l t ; i t e m & g t ; & l t ; k e y & g t ; & l t ; s t r i n g & g t ; P r o j e c t   N a m e & l t ; / s t r i n g & g t ; & l t ; / k e y & g t ; & l t ; v a l u e & g t ; & l t ; C o m m a n d P a r a m e t e r s   / & g t ; & l t ; / v a l u e & g t ; & l t ; / i t e m & g t ; & l t ; i t e m & g t ; & l t ; k e y & g t ; & l t ; s t r i n g & g t ; O r g a n i z a t i o n   N a m e & l t ; / s t r i n g & g t ; & l t ; / k e y & g t ; & l t ; v a l u e & g t ; & l t ; C o m m a n d P a r a m e t e r s   / & g t ; & l t ; / v a l u e & g t ; & l t ; / i t e m & g t ; & l t ; / F i l t e r P a r a m e t e r s & g t ; & l t ; S o r t B y C o l u m n & g t ; S c o r i n g   C o u n t & l t ; / S o r t B y C o l u m n & g t ; & l t ; I s S o r t D e s c e n d i n g & g t ; f a l s e & l t ; / I s S o r t D e s c e n d i n g & g t ; & l t ; / T a b l e W i d g e t G r i d S e r i a l i z a t i o n & g t ; 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S c o r e s _ e 2 9 a 0 e 4 4 - 0 1 a 8 - 4 e f c - a 9 1 6 - 3 0 1 c c 9 b a 4 4 4 3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9 4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A p p l i c a t i o n s _ 6 6 a 2 d 5 c c - e 9 4 5 - 4 8 a 4 - 8 e 8 3 - 7 f 0 e a 3 f d a 9 a 3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e 4 6 b 8 a d - 9 d a c - 4 f 8 b - 9 1 0 7 - c b 9 6 1 a d 2 5 e b 2 " > < C u s t o m C o n t e n t > < ! [ C D A T A [ < ? x m l   v e r s i o n = " 1 . 0 "   e n c o d i n g = " u t f - 1 6 " ? > < S e t t i n g s > < C a l c u l a t e d F i e l d s > < i t e m > < M e a s u r e N a m e > S u m   o f   F Y 2 1   G r a n t   $ ' s < / M e a s u r e N a m e > < D i s p l a y N a m e > S u m   o f   F Y 2 1   G r a n t   $ ' s < / D i s p l a y N a m e > < V i s i b l e > F a l s e < / V i s i b l e > < / i t e m > < i t e m > < M e a s u r e N a m e > S u m   o f   F Y 2 2   R e q u e s t < / M e a s u r e N a m e > < D i s p l a y N a m e > S u m   o f   F Y 2 2   R e q u e s t < / D i s p l a y N a m e > < V i s i b l e > F a l s e < / V i s i b l e > < / i t e m > < i t e m > < M e a s u r e N a m e > S u m   o f   O v e r a l l < / M e a s u r e N a m e > < D i s p l a y N a m e > S u m   o f   O v e r a l l < / D i s p l a y N a m e > < V i s i b l e > F a l s e < / V i s i b l e > < / i t e m > < i t e m > < M e a s u r e N a m e > S u m   o f   B u d g e t < / M e a s u r e N a m e > < D i s p l a y N a m e > S u m   o f   B u d g e t < / D i s p l a y N a m e > < V i s i b l e > F a l s e < / V i s i b l e > < / i t e m > < i t e m > < M e a s u r e N a m e > S u m   o f   E q u i t y < / M e a s u r e N a m e > < D i s p l a y N a m e > S u m   o f   E q u i t y < / D i s p l a y N a m e > < V i s i b l e > F a l s e < / V i s i b l e > < / i t e m > < i t e m > < M e a s u r e N a m e > S u m   o f   C a p a c i t y < / M e a s u r e N a m e > < D i s p l a y N a m e > S u m   o f   C a p a c i t y < / D i s p l a y N a m e > < V i s i b l e > F a l s e < / V i s i b l e > < / i t e m > < i t e m > < M e a s u r e N a m e > S u m   o f   P r o p o s e d   R e s u l t s < / M e a s u r e N a m e > < D i s p l a y N a m e > S u m   o f   P r o p o s e d   R e s u l t s < / D i s p l a y N a m e > < V i s i b l e > F a l s e < / V i s i b l e > < / i t e m > < i t e m > < M e a s u r e N a m e > S u m   o f   P r o j e c t   P l a n < / M e a s u r e N a m e > < D i s p l a y N a m e > S u m   o f   P r o j e c t   P l a n < / D i s p l a y N a m e > < V i s i b l e > F a l s e < / V i s i b l e > < / i t e m > < i t e m > < M e a s u r e N a m e > S u m   o f   N e e d < / M e a s u r e N a m e > < D i s p l a y N a m e > S u m   o f   N e e d < / D i s p l a y N a m e > < V i s i b l e > F a l s e < / V i s i b l e > < / i t e m > < i t e m > < M e a s u r e N a m e > S u m   o f   T o t a l   P t s   C a l c < / M e a s u r e N a m e > < D i s p l a y N a m e > S u m   o f   T o t a l   P t s   C a l c < / D i s p l a y N a m e > < V i s i b l e > F a l s e < / V i s i b l e > < / i t e m > < i t e m > < M e a s u r e N a m e > S u m   o f   M a x   P o s s i b l e   P t s < / M e a s u r e N a m e > < D i s p l a y N a m e > S u m   o f   M a x   P o s s i b l e   P t s < / D i s p l a y N a m e > < V i s i b l e > F a l s e < / V i s i b l e > < / i t e m > < i t e m > < M e a s u r e N a m e > S c o r e   % < / M e a s u r e N a m e > < D i s p l a y N a m e > S c o r e   % < / D i s p l a y N a m e > < V i s i b l e > F a l s e < / V i s i b l e > < / i t e m > < i t e m > < M e a s u r e N a m e > E q u i t y   M a x   S c o r e < / M e a s u r e N a m e > < D i s p l a y N a m e > E q u i t y   M a x   S c o r e < / D i s p l a y N a m e > < V i s i b l e > F a l s e < / V i s i b l e > < / i t e m > < i t e m > < M e a s u r e N a m e > E q u i t y   % < / M e a s u r e N a m e > < D i s p l a y N a m e > E q u i t y   % < / D i s p l a y N a m e > < V i s i b l e > F a l s e < / V i s i b l e > < / i t e m > < i t e m > < M e a s u r e N a m e > R o w   C o u n t < / M e a s u r e N a m e > < D i s p l a y N a m e > R o w   C o u n t < / D i s p l a y N a m e > < V i s i b l e > F a l s e < / V i s i b l e > < / i t e m > < i t e m > < M e a s u r e N a m e > E q u i t y   R o w   C o u n t < / M e a s u r e N a m e > < D i s p l a y N a m e > E q u i t y   R o w   C o u n t < / D i s p l a y N a m e > < V i s i b l e > F a l s e < / V i s i b l e > < / i t e m > < i t e m > < M e a s u r e N a m e > T o t a l   P t s   R o w   C o u n t < / M e a s u r e N a m e > < D i s p l a y N a m e > T o t a l   P t s   R o w   C o u n t < / D i s p l a y N a m e > < V i s i b l e > F a l s e < / V i s i b l e > < / i t e m > < i t e m > < M e a s u r e N a m e > B u d g e t   M a x   S c o r e < / M e a s u r e N a m e > < D i s p l a y N a m e > B u d g e t   M a x   S c o r e < / D i s p l a y N a m e > < V i s i b l e > F a l s e < / V i s i b l e > < / i t e m > < i t e m > < M e a s u r e N a m e > B u g e t   % < / M e a s u r e N a m e > < D i s p l a y N a m e > B u g e t   % < / D i s p l a y N a m e > < V i s i b l e > F a l s e < / V i s i b l e > < / i t e m > < i t e m > < M e a s u r e N a m e > C a p a c i t y   M a x   S c o r e < / M e a s u r e N a m e > < D i s p l a y N a m e > C a p a c i t y   M a x   S c o r e < / D i s p l a y N a m e > < V i s i b l e > F a l s e < / V i s i b l e > < / i t e m > < i t e m > < M e a s u r e N a m e > C a p a c i t y   % < / M e a s u r e N a m e > < D i s p l a y N a m e > C a p a c i t y   % < / D i s p l a y N a m e > < V i s i b l e > F a l s e < / V i s i b l e > < / i t e m > < i t e m > < M e a s u r e N a m e > O v e r a l l   M a x   S c o r e < / M e a s u r e N a m e > < D i s p l a y N a m e > O v e r a l l   M a x   S c o r e < / D i s p l a y N a m e > < V i s i b l e > F a l s e < / V i s i b l e > < / i t e m > < i t e m > < M e a s u r e N a m e > O v e r a l l   % < / M e a s u r e N a m e > < D i s p l a y N a m e > O v e r a l l   % < / D i s p l a y N a m e > < V i s i b l e > F a l s e < / V i s i b l e > < / i t e m > < i t e m > < M e a s u r e N a m e > R e s u l t s   M a x   S c o r e < / M e a s u r e N a m e > < D i s p l a y N a m e > R e s u l t s   M a x   S c o r e < / D i s p l a y N a m e > < V i s i b l e > F a l s e < / V i s i b l e > < / i t e m > < i t e m > < M e a s u r e N a m e > R e s u l t s   % < / M e a s u r e N a m e > < D i s p l a y N a m e > R e s u l t s   % < / D i s p l a y N a m e > < V i s i b l e > F a l s e < / V i s i b l e > < / i t e m > < i t e m > < M e a s u r e N a m e > P l a n   M a x   S c o r e < / M e a s u r e N a m e > < D i s p l a y N a m e > P l a n   M a x   S c o r e < / D i s p l a y N a m e > < V i s i b l e > F a l s e < / V i s i b l e > < / i t e m > < i t e m > < M e a s u r e N a m e > P l a n   % < / M e a s u r e N a m e > < D i s p l a y N a m e > P l a n   % < / D i s p l a y N a m e > < V i s i b l e > F a l s e < / V i s i b l e > < / i t e m > < i t e m > < M e a s u r e N a m e > N e e d   M a x   S c o r e < / M e a s u r e N a m e > < D i s p l a y N a m e > N e e d   M a x   S c o r e < / D i s p l a y N a m e > < V i s i b l e > F a l s e < / V i s i b l e > < / i t e m > < i t e m > < M e a s u r e N a m e > N e e d   % < / M e a s u r e N a m e > < D i s p l a y N a m e > N e e d   % < / D i s p l a y N a m e > < V i s i b l e > F a l s e < / V i s i b l e > < / i t e m > < i t e m > < M e a s u r e N a m e > M a x .   P t s < / M e a s u r e N a m e > < D i s p l a y N a m e > M a x .   P t s < / D i s p l a y N a m e > < V i s i b l e > F a l s e < / V i s i b l e > < / i t e m > < i t e m > < M e a s u r e N a m e > M i n .   P t s < / M e a s u r e N a m e > < D i s p l a y N a m e > M i n .   P t s 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7 5 e 5 7 2 e a - 5 d 6 9 - 4 7 0 4 - a 1 9 f - 1 1 b 2 d 8 f 0 6 3 8 d " > < C u s t o m C o n t e n t > < ! [ C D A T A [ < ? x m l   v e r s i o n = " 1 . 0 "   e n c o d i n g = " u t f - 1 6 " ? > < S e t t i n g s > < C a l c u l a t e d F i e l d s > < i t e m > < M e a s u r e N a m e > S u m   o f   F Y 2 1   G r a n t   $ ' s < / M e a s u r e N a m e > < D i s p l a y N a m e > S u m   o f   F Y 2 1   G r a n t   $ ' s < / D i s p l a y N a m e > < V i s i b l e > F a l s e < / V i s i b l e > < / i t e m > < i t e m > < M e a s u r e N a m e > S u m   o f   F Y 2 2   R e q u e s t < / M e a s u r e N a m e > < D i s p l a y N a m e > S u m   o f   F Y 2 2   R e q u e s t < / D i s p l a y N a m e > < V i s i b l e > F a l s e < / V i s i b l e > < / i t e m > < i t e m > < M e a s u r e N a m e > S u m   o f   O v e r a l l < / M e a s u r e N a m e > < D i s p l a y N a m e > S u m   o f   O v e r a l l < / D i s p l a y N a m e > < V i s i b l e > F a l s e < / V i s i b l e > < / i t e m > < i t e m > < M e a s u r e N a m e > S u m   o f   B u d g e t < / M e a s u r e N a m e > < D i s p l a y N a m e > S u m   o f   B u d g e t < / D i s p l a y N a m e > < V i s i b l e > F a l s e < / V i s i b l e > < / i t e m > < i t e m > < M e a s u r e N a m e > S u m   o f   E q u i t y < / M e a s u r e N a m e > < D i s p l a y N a m e > S u m   o f   E q u i t y < / D i s p l a y N a m e > < V i s i b l e > F a l s e < / V i s i b l e > < / i t e m > < i t e m > < M e a s u r e N a m e > S u m   o f   C a p a c i t y < / M e a s u r e N a m e > < D i s p l a y N a m e > S u m   o f   C a p a c i t y < / D i s p l a y N a m e > < V i s i b l e > F a l s e < / V i s i b l e > < / i t e m > < i t e m > < M e a s u r e N a m e > S u m   o f   P r o p o s e d   R e s u l t s < / M e a s u r e N a m e > < D i s p l a y N a m e > S u m   o f   P r o p o s e d   R e s u l t s < / D i s p l a y N a m e > < V i s i b l e > F a l s e < / V i s i b l e > < / i t e m > < i t e m > < M e a s u r e N a m e > S u m   o f   P r o j e c t   P l a n < / M e a s u r e N a m e > < D i s p l a y N a m e > S u m   o f   P r o j e c t   P l a n < / D i s p l a y N a m e > < V i s i b l e > F a l s e < / V i s i b l e > < / i t e m > < i t e m > < M e a s u r e N a m e > S u m   o f   N e e d < / M e a s u r e N a m e > < D i s p l a y N a m e > S u m   o f   N e e d < / D i s p l a y N a m e > < V i s i b l e > F a l s e < / V i s i b l e > < / i t e m > < i t e m > < M e a s u r e N a m e > S u m   o f   T o t a l   P t s   C a l c < / M e a s u r e N a m e > < D i s p l a y N a m e > S u m   o f   T o t a l   P t s   C a l c < / D i s p l a y N a m e > < V i s i b l e > F a l s e < / V i s i b l e > < / i t e m > < i t e m > < M e a s u r e N a m e > S u m   o f   M a x   P o s s i b l e   P t s < / M e a s u r e N a m e > < D i s p l a y N a m e > S u m   o f   M a x   P o s s i b l e   P t s < / D i s p l a y N a m e > < V i s i b l e > F a l s e < / V i s i b l e > < / i t e m > < i t e m > < M e a s u r e N a m e > S c o r e   % < / M e a s u r e N a m e > < D i s p l a y N a m e > S c o r e   % < / D i s p l a y N a m e > < V i s i b l e > F a l s e < / V i s i b l e > < / i t e m > < i t e m > < M e a s u r e N a m e > E q u i t y   M a x   S c o r e < / M e a s u r e N a m e > < D i s p l a y N a m e > E q u i t y   M a x   S c o r e < / D i s p l a y N a m e > < V i s i b l e > F a l s e < / V i s i b l e > < / i t e m > < i t e m > < M e a s u r e N a m e > E q u i t y   % < / M e a s u r e N a m e > < D i s p l a y N a m e > E q u i t y   % < / D i s p l a y N a m e > < V i s i b l e > F a l s e < / V i s i b l e > < / i t e m > < i t e m > < M e a s u r e N a m e > R o w   C o u n t < / M e a s u r e N a m e > < D i s p l a y N a m e > R o w   C o u n t < / D i s p l a y N a m e > < V i s i b l e > F a l s e < / V i s i b l e > < / i t e m > < i t e m > < M e a s u r e N a m e > E q u i t y   R o w   C o u n t < / M e a s u r e N a m e > < D i s p l a y N a m e > E q u i t y   R o w   C o u n t < / D i s p l a y N a m e > < V i s i b l e > F a l s e < / V i s i b l e > < / i t e m > < i t e m > < M e a s u r e N a m e > T o t a l   P t s   R o w   C o u n t < / M e a s u r e N a m e > < D i s p l a y N a m e > T o t a l   P t s   R o w   C o u n t < / D i s p l a y N a m e > < V i s i b l e > F a l s e < / V i s i b l e > < / i t e m > < i t e m > < M e a s u r e N a m e > B u d g e t   M a x   S c o r e < / M e a s u r e N a m e > < D i s p l a y N a m e > B u d g e t   M a x   S c o r e < / D i s p l a y N a m e > < V i s i b l e > F a l s e < / V i s i b l e > < / i t e m > < i t e m > < M e a s u r e N a m e > B u g e t   % < / M e a s u r e N a m e > < D i s p l a y N a m e > B u g e t   % < / D i s p l a y N a m e > < V i s i b l e > F a l s e < / V i s i b l e > < / i t e m > < i t e m > < M e a s u r e N a m e > C a p a c i t y   M a x   S c o r e < / M e a s u r e N a m e > < D i s p l a y N a m e > C a p a c i t y   M a x   S c o r e < / D i s p l a y N a m e > < V i s i b l e > F a l s e < / V i s i b l e > < / i t e m > < i t e m > < M e a s u r e N a m e > C a p a c i t y   % < / M e a s u r e N a m e > < D i s p l a y N a m e > C a p a c i t y   % < / D i s p l a y N a m e > < V i s i b l e > F a l s e < / V i s i b l e > < / i t e m > < i t e m > < M e a s u r e N a m e > O v e r a l l   M a x   S c o r e < / M e a s u r e N a m e > < D i s p l a y N a m e > O v e r a l l   M a x   S c o r e < / D i s p l a y N a m e > < V i s i b l e > F a l s e < / V i s i b l e > < / i t e m > < i t e m > < M e a s u r e N a m e > O v e r a l l   % < / M e a s u r e N a m e > < D i s p l a y N a m e > O v e r a l l   % < / D i s p l a y N a m e > < V i s i b l e > F a l s e < / V i s i b l e > < / i t e m > < i t e m > < M e a s u r e N a m e > R e s u l t s   M a x   S c o r e < / M e a s u r e N a m e > < D i s p l a y N a m e > R e s u l t s   M a x   S c o r e < / D i s p l a y N a m e > < V i s i b l e > F a l s e < / V i s i b l e > < / i t e m > < i t e m > < M e a s u r e N a m e > R e s u l t s   % < / M e a s u r e N a m e > < D i s p l a y N a m e > R e s u l t s   % < / D i s p l a y N a m e > < V i s i b l e > F a l s e < / V i s i b l e > < / i t e m > < i t e m > < M e a s u r e N a m e > P l a n   M a x   S c o r e < / M e a s u r e N a m e > < D i s p l a y N a m e > P l a n   M a x   S c o r e < / D i s p l a y N a m e > < V i s i b l e > F a l s e < / V i s i b l e > < / i t e m > < i t e m > < M e a s u r e N a m e > P l a n   % < / M e a s u r e N a m e > < D i s p l a y N a m e > P l a n   % < / D i s p l a y N a m e > < V i s i b l e > F a l s e < / V i s i b l e > < / i t e m > < i t e m > < M e a s u r e N a m e > N e e d   M a x   S c o r e < / M e a s u r e N a m e > < D i s p l a y N a m e > N e e d   M a x   S c o r e < / D i s p l a y N a m e > < V i s i b l e > F a l s e < / V i s i b l e > < / i t e m > < i t e m > < M e a s u r e N a m e > N e e d   % < / M e a s u r e N a m e > < D i s p l a y N a m e > N e e d   % < / D i s p l a y N a m e > < V i s i b l e > F a l s e < / V i s i b l e > < / i t e m > < i t e m > < M e a s u r e N a m e > M a x .   P t s < / M e a s u r e N a m e > < D i s p l a y N a m e > M a x .   P t s < / D i s p l a y N a m e > < V i s i b l e > F a l s e < / V i s i b l e > < / i t e m > < i t e m > < M e a s u r e N a m e > M i n .   P t s < / M e a s u r e N a m e > < D i s p l a y N a m e > M i n .   P t s 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4 6 6 f 6 5 3 1 - 5 5 8 8 - 4 0 3 5 - a 8 7 4 - 0 1 3 b 0 7 1 9 b f 8 e " > < C u s t o m C o n t e n t > < ! [ C D A T A [ < ? x m l   v e r s i o n = " 1 . 0 "   e n c o d i n g = " u t f - 1 6 " ? > < S e t t i n g s > < C a l c u l a t e d F i e l d s > < i t e m > < M e a s u r e N a m e > S u m   o f   F Y 2 1   G r a n t   $ ' s < / M e a s u r e N a m e > < D i s p l a y N a m e > S u m   o f   F Y 2 1   G r a n t   $ ' s < / D i s p l a y N a m e > < V i s i b l e > F a l s e < / V i s i b l e > < / i t e m > < i t e m > < M e a s u r e N a m e > S u m   o f   F Y 2 2   R e q u e s t < / M e a s u r e N a m e > < D i s p l a y N a m e > S u m   o f   F Y 2 2   R e q u e s t < / D i s p l a y N a m e > < V i s i b l e > F a l s e < / V i s i b l e > < / i t e m > < i t e m > < M e a s u r e N a m e > S u m   o f   O v e r a l l < / M e a s u r e N a m e > < D i s p l a y N a m e > S u m   o f   O v e r a l l < / D i s p l a y N a m e > < V i s i b l e > F a l s e < / V i s i b l e > < / i t e m > < i t e m > < M e a s u r e N a m e > S u m   o f   B u d g e t < / M e a s u r e N a m e > < D i s p l a y N a m e > S u m   o f   B u d g e t < / D i s p l a y N a m e > < V i s i b l e > F a l s e < / V i s i b l e > < / i t e m > < i t e m > < M e a s u r e N a m e > S u m   o f   E q u i t y < / M e a s u r e N a m e > < D i s p l a y N a m e > S u m   o f   E q u i t y < / D i s p l a y N a m e > < V i s i b l e > F a l s e < / V i s i b l e > < / i t e m > < i t e m > < M e a s u r e N a m e > S u m   o f   C a p a c i t y < / M e a s u r e N a m e > < D i s p l a y N a m e > S u m   o f   C a p a c i t y < / D i s p l a y N a m e > < V i s i b l e > F a l s e < / V i s i b l e > < / i t e m > < i t e m > < M e a s u r e N a m e > S u m   o f   P r o p o s e d   R e s u l t s < / M e a s u r e N a m e > < D i s p l a y N a m e > S u m   o f   P r o p o s e d   R e s u l t s < / D i s p l a y N a m e > < V i s i b l e > F a l s e < / V i s i b l e > < / i t e m > < i t e m > < M e a s u r e N a m e > S u m   o f   P r o j e c t   P l a n < / M e a s u r e N a m e > < D i s p l a y N a m e > S u m   o f   P r o j e c t   P l a n < / D i s p l a y N a m e > < V i s i b l e > F a l s e < / V i s i b l e > < / i t e m > < i t e m > < M e a s u r e N a m e > S u m   o f   N e e d < / M e a s u r e N a m e > < D i s p l a y N a m e > S u m   o f   N e e d < / D i s p l a y N a m e > < V i s i b l e > F a l s e < / V i s i b l e > < / i t e m > < i t e m > < M e a s u r e N a m e > S u m   o f   T o t a l   P t s   C a l c < / M e a s u r e N a m e > < D i s p l a y N a m e > S u m   o f   T o t a l   P t s   C a l c < / D i s p l a y N a m e > < V i s i b l e > F a l s e < / V i s i b l e > < / i t e m > < i t e m > < M e a s u r e N a m e > S u m   o f   M a x   P o s s i b l e   P t s < / M e a s u r e N a m e > < D i s p l a y N a m e > S u m   o f   M a x   P o s s i b l e   P t s < / D i s p l a y N a m e > < V i s i b l e > F a l s e < / V i s i b l e > < / i t e m > < i t e m > < M e a s u r e N a m e > S c o r e   % < / M e a s u r e N a m e > < D i s p l a y N a m e > S c o r e   % < / D i s p l a y N a m e > < V i s i b l e > F a l s e < / V i s i b l e > < / i t e m > < i t e m > < M e a s u r e N a m e > E q u i t y   M a x   S c o r e < / M e a s u r e N a m e > < D i s p l a y N a m e > E q u i t y   M a x   S c o r e < / D i s p l a y N a m e > < V i s i b l e > F a l s e < / V i s i b l e > < / i t e m > < i t e m > < M e a s u r e N a m e > E q u i t y   % < / M e a s u r e N a m e > < D i s p l a y N a m e > E q u i t y   % < / D i s p l a y N a m e > < V i s i b l e > F a l s e < / V i s i b l e > < / i t e m > < i t e m > < M e a s u r e N a m e > R o w   C o u n t < / M e a s u r e N a m e > < D i s p l a y N a m e > R o w   C o u n t < / D i s p l a y N a m e > < V i s i b l e > F a l s e < / V i s i b l e > < / i t e m > < i t e m > < M e a s u r e N a m e > E q u i t y   R o w   C o u n t < / M e a s u r e N a m e > < D i s p l a y N a m e > E q u i t y   R o w   C o u n t < / D i s p l a y N a m e > < V i s i b l e > F a l s e < / V i s i b l e > < / i t e m > < i t e m > < M e a s u r e N a m e > T o t a l   P t s   R o w   C o u n t < / M e a s u r e N a m e > < D i s p l a y N a m e > T o t a l   P t s   R o w   C o u n t < / D i s p l a y N a m e > < V i s i b l e > F a l s e < / V i s i b l e > < / i t e m > < i t e m > < M e a s u r e N a m e > B u d g e t   M a x   S c o r e < / M e a s u r e N a m e > < D i s p l a y N a m e > B u d g e t   M a x   S c o r e < / D i s p l a y N a m e > < V i s i b l e > F a l s e < / V i s i b l e > < / i t e m > < i t e m > < M e a s u r e N a m e > B u g e t   % < / M e a s u r e N a m e > < D i s p l a y N a m e > B u g e t   % < / D i s p l a y N a m e > < V i s i b l e > F a l s e < / V i s i b l e > < / i t e m > < i t e m > < M e a s u r e N a m e > C a p a c i t y   M a x   S c o r e < / M e a s u r e N a m e > < D i s p l a y N a m e > C a p a c i t y   M a x   S c o r e < / D i s p l a y N a m e > < V i s i b l e > F a l s e < / V i s i b l e > < / i t e m > < i t e m > < M e a s u r e N a m e > C a p a c i t y   % < / M e a s u r e N a m e > < D i s p l a y N a m e > C a p a c i t y   % < / D i s p l a y N a m e > < V i s i b l e > F a l s e < / V i s i b l e > < / i t e m > < i t e m > < M e a s u r e N a m e > O v e r a l l   M a x   S c o r e < / M e a s u r e N a m e > < D i s p l a y N a m e > O v e r a l l   M a x   S c o r e < / D i s p l a y N a m e > < V i s i b l e > F a l s e < / V i s i b l e > < / i t e m > < i t e m > < M e a s u r e N a m e > O v e r a l l   % < / M e a s u r e N a m e > < D i s p l a y N a m e > O v e r a l l   % < / D i s p l a y N a m e > < V i s i b l e > F a l s e < / V i s i b l e > < / i t e m > < i t e m > < M e a s u r e N a m e > R e s u l t s   M a x   S c o r e < / M e a s u r e N a m e > < D i s p l a y N a m e > R e s u l t s   M a x   S c o r e < / D i s p l a y N a m e > < V i s i b l e > F a l s e < / V i s i b l e > < / i t e m > < i t e m > < M e a s u r e N a m e > R e s u l t s   % < / M e a s u r e N a m e > < D i s p l a y N a m e > R e s u l t s   % < / D i s p l a y N a m e > < V i s i b l e > F a l s e < / V i s i b l e > < / i t e m > < i t e m > < M e a s u r e N a m e > P l a n   M a x   S c o r e < / M e a s u r e N a m e > < D i s p l a y N a m e > P l a n   M a x   S c o r e < / D i s p l a y N a m e > < V i s i b l e > F a l s e < / V i s i b l e > < / i t e m > < i t e m > < M e a s u r e N a m e > P l a n   % < / M e a s u r e N a m e > < D i s p l a y N a m e > P l a n   % < / D i s p l a y N a m e > < V i s i b l e > F a l s e < / V i s i b l e > < / i t e m > < i t e m > < M e a s u r e N a m e > N e e d   M a x   S c o r e < / M e a s u r e N a m e > < D i s p l a y N a m e > N e e d   M a x   S c o r e < / D i s p l a y N a m e > < V i s i b l e > F a l s e < / V i s i b l e > < / i t e m > < i t e m > < M e a s u r e N a m e > N e e d   % < / M e a s u r e N a m e > < D i s p l a y N a m e > N e e d   % < / D i s p l a y N a m e > < V i s i b l e > F a l s e < / V i s i b l e > < / i t e m > < i t e m > < M e a s u r e N a m e > M a x .   P t s < / M e a s u r e N a m e > < D i s p l a y N a m e > M a x .   P t s < / D i s p l a y N a m e > < V i s i b l e > F a l s e < / V i s i b l e > < / i t e m > < i t e m > < M e a s u r e N a m e > M i n .   P t s < / M e a s u r e N a m e > < D i s p l a y N a m e > M i n .   P t s 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A p p l i c a t i o n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 i : t y p e = " S a n d b o x E d i t o r T a b l e W i d g e t V i e w M o d e l K e y " & g t ; & l t ; T a b l e N a m e & g t ; A p p l i c a t i o n s & l t ; / T a b l e N a m e & g t ; & l t ; / K e y & g t ; & l t ; M a i n t a i n e r 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0 2 1   G r a n t & l t ; / K e y & g t ; & l t ; / a : K e y & g t ; & l t ; a : V a l u e 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0 2 2   R e q u e s t & l t ; / K e y & g t ; & l t ; / a : K e y & g t ; & l t ; a : V a l u e 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o o k u p K e y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S c o r e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 i : t y p e = " S a n d b o x E d i t o r T a b l e W i d g e t V i e w M o d e l K e y " & g t ; & l t ; T a b l e N a m e & g t ; S c o r e s & l t ; / T a b l e N a m e & g t ; & l t ; / K e y & g t ; & l t ; M a i n t a i n e r 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 P l a n & l t ; / K e y & g t ; & l t ; / a : K e y & g t ; & l t ; a : V a l u e 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p o s e d   R e s u l t s & l t ; / K e y & g t ; & l t ; / a : K e y & g t ; & l t ; a : V a l u e 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a p a c i t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q u i t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u d g e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v e r a l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o t a l   P o i n t s & l t ; / K e y & g t ; & l t ; / a : K e y & g t ; & l t ; a : V a l u e 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o r e   P e r c e n t a g e & l t ; / K e y & g t ; & l t ; / a : K e y & g t ; & l t ; a : V a l u e 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o o k u p K e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1   G r a n t   $ ' s & l t ; / K e y & g t ; & l t ; / a : K e y & g t ; & l t ; a : V a l u e 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2   R e q u e s t & l t ; / K e y & g t ; & l t ; / a : K e y & g t ; & l t ; a : V a l u e 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o t a l   P t s   C a l c & l t ; / K e y & g t ; & l t ; / a : K e y & g t ; & l t ; a : V a l u e 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o r i n g   C o u n t & l t ; / K e y & g t ; & l t ; / a : K e y & g t ; & l t ; a : V a l u e 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x   P o s s i b l e   P t s & l t ; / K e y & g t ; & l t ; / a : K e y & g t ; & l t ; a : V a l u e 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9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39D9C7E0EE440841D865E5B331AF6" ma:contentTypeVersion="10" ma:contentTypeDescription="Create a new document." ma:contentTypeScope="" ma:versionID="a3d868cc5bba7bc3a31a8269e1d81567">
  <xsd:schema xmlns:xsd="http://www.w3.org/2001/XMLSchema" xmlns:xs="http://www.w3.org/2001/XMLSchema" xmlns:p="http://schemas.microsoft.com/office/2006/metadata/properties" xmlns:ns3="1d5157c5-0b34-4019-b892-cdf3cbd0bba6" xmlns:ns4="22fea025-f330-4e09-ac07-e6edffb86c86" targetNamespace="http://schemas.microsoft.com/office/2006/metadata/properties" ma:root="true" ma:fieldsID="988c52968554d0290600b6617687416d" ns3:_="" ns4:_="">
    <xsd:import namespace="1d5157c5-0b34-4019-b892-cdf3cbd0bba6"/>
    <xsd:import namespace="22fea025-f330-4e09-ac07-e6edffb86c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157c5-0b34-4019-b892-cdf3cbd0b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ea025-f330-4e09-ac07-e6edffb86c8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O r d e r " > < C u s t o m C o n t e n t > < ! [ C D A T A [ S c o r e s _ e 2 9 a 0 e 4 4 - 0 1 a 8 - 4 e f c - a 9 1 6 - 3 0 1 c c 9 b a 4 4 4 3 , A p p l i c a t i o n s _ 6 6 a 2 d 5 c c - e 9 4 5 - 4 8 a 4 - 8 e 8 3 - 7 f 0 e a 3 f d a 9 a 3 ] ] > < / C u s t o m C o n t e n t > < / G e m i n i > 
</file>

<file path=customXml/item21.xml>��< ? x m l   v e r s i o n = " 1 . 0 "   e n c o d i n g = " U T F - 1 6 " ? > < G e m i n i   x m l n s = " h t t p : / / g e m i n i / p i v o t c u s t o m i z a t i o n / T a b l e X M L _ A p p l i c a t i o n s _ 6 6 a 2 d 5 c c - e 9 4 5 - 4 8 a 4 - 8 e 8 3 - 7 f 0 e a 3 f d a 9 a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 O r g a n i z a t i o n   N a m e < / s t r i n g > < / k e y > < v a l u e > < i n t > 1 6 1 < / i n t > < / v a l u e > < / i t e m > < i t e m > < k e y > < s t r i n g > P r o j e c t   N a m e < / s t r i n g > < / k e y > < v a l u e > < i n t > 1 2 4 < / i n t > < / v a l u e > < / i t e m > < i t e m > < k e y > < s t r i n g > F Y 2 0 2 1   G r a n t < / s t r i n g > < / k e y > < v a l u e > < i n t > 1 2 5 < / i n t > < / v a l u e > < / i t e m > < i t e m > < k e y > < s t r i n g > F Y 2 0 2 2   R e q u e s t < / s t r i n g > < / k e y > < v a l u e > < i n t > 1 4 4 < / i n t > < / v a l u e > < / i t e m > < i t e m > < k e y > < s t r i n g > L o o k u p K e y < / s t r i n g > < / k e y > < v a l u e > < i n t > 8 9 7 < / i n t > < / v a l u e > < / i t e m > < / C o l u m n W i d t h s > < C o l u m n D i s p l a y I n d e x > < i t e m > < k e y > < s t r i n g > O r g a n i z a t i o n   N a m e < / s t r i n g > < / k e y > < v a l u e > < i n t > 0 < / i n t > < / v a l u e > < / i t e m > < i t e m > < k e y > < s t r i n g > P r o j e c t   N a m e < / s t r i n g > < / k e y > < v a l u e > < i n t > 1 < / i n t > < / v a l u e > < / i t e m > < i t e m > < k e y > < s t r i n g > F Y 2 0 2 1   G r a n t < / s t r i n g > < / k e y > < v a l u e > < i n t > 2 < / i n t > < / v a l u e > < / i t e m > < i t e m > < k e y > < s t r i n g > F Y 2 0 2 2   R e q u e s t < / s t r i n g > < / k e y > < v a l u e > < i n t > 3 < / i n t > < / v a l u e > < / i t e m > < i t e m > < k e y > < s t r i n g > L o o k u p K e y 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6.xml>��< ? x m l   v e r s i o n = " 1 . 0 "   e n c o d i n g = " u t f - 1 6 " ? > < D a t a M a s h u p   s q m i d = " 5 b 5 8 6 c c d - d 9 c 8 - 4 e b 6 - 9 4 3 a - 3 0 e d 3 3 7 9 d b 1 1 "   x m l n s = " h t t p : / / s c h e m a s . m i c r o s o f t . c o m / D a t a M a s h u p " > A A A A A L A E A A B Q S w M E F A A C A A g A 6 k a G U t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D q R o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k a G U s U t A d i o A Q A A 0 Q Q A A B M A H A B G b 3 J t d W x h c y 9 T Z W N 0 a W 9 u M S 5 t I K I Y A C i g F A A A A A A A A A A A A A A A A A A A A A A A A A A A A M 1 T T U / C Q B C 9 k / A f N u s F k g Y p f l y I B 2 z Q e B E i J M Y Q D k s 7 Q G W 7 W / f D i I T / 7 r S r Q m n R x J O 9 U O Z N 3 5 t 5 M 6 M h N L E U Z O R + / W 6 9 V q / p J V M Q k V E o F W h y R T i Y e o 3 g M 5 J W h Y C R / l s I v B V Y p U C Y R 6 l W M y l X j e Z m c s 8 S u K J j N u P g 0 + l 2 E k h h M G X q O Y I T G i y Z W C D 5 e J 0 C R a Y 8 t T V W T O i 5 V E k g u U 1 E B u q G U / M 2 G z p Q C y b i d 5 a X m k l Q j x j M I Q b e z N Y j G z p U 8 h l b q A b v A S I M 3 g l z e d 7 K u A u f D D k T l W g q N R b 6 A N p y o 8 s Z A U t Z G J t 1 G e m / 2 M r 4 t Y 0 W Y M r x w S s o x v l R g I y l Y T / A + a D I w B o i 5 8 R v t 7 8 M E D a Z g d p u m 9 / u P 0 A i X 7 E p Z 7 P e D c A B n + H G w Z i 8 H 6 T 2 y H t R l F F b b W S y Y 8 a o o 2 2 U 5 T 1 C H e E Q c N L C s E U 2 P G D h k k w K v U 9 P z y 6 a l T v k / 7 J E B 2 V l 2 1 Q h u f v j 3 C 1 Y J n C n K i 3 L g G r L / F z o c H w 0 f y F D G Q t c K B S p 1 2 J x T G f / E n t p y u M w X / + / 3 2 P n 3 9 z j z V O n 3 f H J L Y p k 1 + D K D t e 7 x c 4 T O n h 6 L x Z 0 O a V o X K G D 7 g d Q S w E C L Q A U A A I A C A D q R o Z S 0 d 1 W j K Y A A A D 4 A A A A E g A A A A A A A A A A A A A A A A A A A A A A Q 2 9 u Z m l n L 1 B h Y 2 t h Z 2 U u e G 1 s U E s B A i 0 A F A A C A A g A 6 k a G U g / K 6 a u k A A A A 6 Q A A A B M A A A A A A A A A A A A A A A A A 8 g A A A F t D b 2 5 0 Z W 5 0 X 1 R 5 c G V z X S 5 4 b W x Q S w E C L Q A U A A I A C A D q R o Z S x S 0 B 2 K g B A A D R B A A A E w A A A A A A A A A A A A A A A A D j A Q A A R m 9 y b X V s Y X M v U 2 V j d G l v b j E u b V B L B Q Y A A A A A A w A D A M I A A A D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V G A A A A A A A A D M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v c m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T 3 J n Y W 5 p e m F 0 a W 9 u I E 5 h b W U m c X V v d D s s J n F 1 b 3 Q 7 U H J v a m V j d C B O Y W 1 l J n F 1 b 3 Q 7 L C Z x d W 9 0 O 0 5 l Z W Q m c X V v d D s s J n F 1 b 3 Q 7 U H J v a m V j d C B Q b G F u J n F 1 b 3 Q 7 L C Z x d W 9 0 O 1 B y b 3 B v c 2 V k I F J l c 3 V s d H M m c X V v d D s s J n F 1 b 3 Q 7 Q 2 F w Y W N p d H k m c X V v d D s s J n F 1 b 3 Q 7 R X F 1 a X R 5 J n F 1 b 3 Q 7 L C Z x d W 9 0 O 0 J 1 Z G d l d C Z x d W 9 0 O y w m c X V v d D t P d m V y Y W x s J n F 1 b 3 Q 7 L C Z x d W 9 0 O 1 R v d G F s I F B v a W 5 0 c y Z x d W 9 0 O y w m c X V v d D t T Y 2 9 y Z S B Q Z X J j Z W 5 0 Y W d l J n F 1 b 3 Q 7 X S I g L z 4 8 R W 5 0 c n k g V H l w Z T 0 i R m l s b E N v b H V t b l R 5 c G V z I i B W Y W x 1 Z T 0 i c 0 J n W U R B d 0 1 E Q X d N R E F 3 U T 0 i I C 8 + P E V u d H J 5 I F R 5 c G U 9 I k Z p b G x M Y X N 0 V X B k Y X R l Z C I g V m F s d W U 9 I m Q y M D I x L T A 0 L T A 2 V D E y O j U 1 O j E 3 L j I w N z U 1 M T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N z M w M 2 Y 2 Y 2 U t M D J k Y S 0 0 Y z M x L T l i M T Q t Z D V h Z W Y 5 M W F k Y 2 V m I i A v P j x F b n R y e S B U e X B l P S J G a W x s U 3 R h d H V z I i B W Y W x 1 Z T 0 i c 0 N v b X B s Z X R l I i A v P j x F b n R y e S B U e X B l P S J G a W x s Q 2 9 1 b n Q i I F Z h b H V l P S J s M z M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v c m V z L 0 N o Y W 5 n Z W Q g V H l w Z S 5 7 T 3 J n Y W 5 p e m F 0 a W 9 u I E 5 h b W U s M H 0 m c X V v d D s s J n F 1 b 3 Q 7 U 2 V j d G l v b j E v U 2 N v c m V z L 0 N o Y W 5 n Z W Q g V H l w Z S 5 7 U H J v a m V j d C B O Y W 1 l L D F 9 J n F 1 b 3 Q 7 L C Z x d W 9 0 O 1 N l Y 3 R p b 2 4 x L 1 N j b 3 J l c y 9 D a G F u Z 2 V k I F R 5 c G U u e 0 5 l Z W Q s M n 0 m c X V v d D s s J n F 1 b 3 Q 7 U 2 V j d G l v b j E v U 2 N v c m V z L 0 N o Y W 5 n Z W Q g V H l w Z S 5 7 U H J v a m V j d C B Q b G F u L D N 9 J n F 1 b 3 Q 7 L C Z x d W 9 0 O 1 N l Y 3 R p b 2 4 x L 1 N j b 3 J l c y 9 D a G F u Z 2 V k I F R 5 c G U u e 1 B y b 3 B v c 2 V k I F J l c 3 V s d H M s N H 0 m c X V v d D s s J n F 1 b 3 Q 7 U 2 V j d G l v b j E v U 2 N v c m V z L 0 N o Y W 5 n Z W Q g V H l w Z S 5 7 Q 2 F w Y W N p d H k s N X 0 m c X V v d D s s J n F 1 b 3 Q 7 U 2 V j d G l v b j E v U 2 N v c m V z L 0 N o Y W 5 n Z W Q g V H l w Z S 5 7 R X F 1 a X R 5 L D Z 9 J n F 1 b 3 Q 7 L C Z x d W 9 0 O 1 N l Y 3 R p b 2 4 x L 1 N j b 3 J l c y 9 D a G F u Z 2 V k I F R 5 c G U u e 0 J 1 Z G d l d C w 3 f S Z x d W 9 0 O y w m c X V v d D t T Z W N 0 a W 9 u M S 9 T Y 2 9 y Z X M v Q 2 h h b m d l Z C B U e X B l L n t P d m V y Y W x s L D h 9 J n F 1 b 3 Q 7 L C Z x d W 9 0 O 1 N l Y 3 R p b 2 4 x L 1 N j b 3 J l c y 9 D a G F u Z 2 V k I F R 5 c G U u e 0 9 2 Z X J h b G w g V G 9 0 Y W w s O X 0 m c X V v d D s s J n F 1 b 3 Q 7 U 2 V j d G l v b j E v U 2 N v c m V z L 0 N o Y W 5 n Z W Q g V H l w Z T E u e 1 N j b 3 J l I F B l c m N l b n R h Z 2 U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T Y 2 9 y Z X M v Q 2 h h b m d l Z C B U e X B l L n t P c m d h b m l 6 Y X R p b 2 4 g T m F t Z S w w f S Z x d W 9 0 O y w m c X V v d D t T Z W N 0 a W 9 u M S 9 T Y 2 9 y Z X M v Q 2 h h b m d l Z C B U e X B l L n t Q c m 9 q Z W N 0 I E 5 h b W U s M X 0 m c X V v d D s s J n F 1 b 3 Q 7 U 2 V j d G l v b j E v U 2 N v c m V z L 0 N o Y W 5 n Z W Q g V H l w Z S 5 7 T m V l Z C w y f S Z x d W 9 0 O y w m c X V v d D t T Z W N 0 a W 9 u M S 9 T Y 2 9 y Z X M v Q 2 h h b m d l Z C B U e X B l L n t Q c m 9 q Z W N 0 I F B s Y W 4 s M 3 0 m c X V v d D s s J n F 1 b 3 Q 7 U 2 V j d G l v b j E v U 2 N v c m V z L 0 N o Y W 5 n Z W Q g V H l w Z S 5 7 U H J v c G 9 z Z W Q g U m V z d W x 0 c y w 0 f S Z x d W 9 0 O y w m c X V v d D t T Z W N 0 a W 9 u M S 9 T Y 2 9 y Z X M v Q 2 h h b m d l Z C B U e X B l L n t D Y X B h Y 2 l 0 e S w 1 f S Z x d W 9 0 O y w m c X V v d D t T Z W N 0 a W 9 u M S 9 T Y 2 9 y Z X M v Q 2 h h b m d l Z C B U e X B l L n t F c X V p d H k s N n 0 m c X V v d D s s J n F 1 b 3 Q 7 U 2 V j d G l v b j E v U 2 N v c m V z L 0 N o Y W 5 n Z W Q g V H l w Z S 5 7 Q n V k Z 2 V 0 L D d 9 J n F 1 b 3 Q 7 L C Z x d W 9 0 O 1 N l Y 3 R p b 2 4 x L 1 N j b 3 J l c y 9 D a G F u Z 2 V k I F R 5 c G U u e 0 9 2 Z X J h b G w s O H 0 m c X V v d D s s J n F 1 b 3 Q 7 U 2 V j d G l v b j E v U 2 N v c m V z L 0 N o Y W 5 n Z W Q g V H l w Z S 5 7 T 3 Z l c m F s b C B U b 3 R h b C w 5 f S Z x d W 9 0 O y w m c X V v d D t T Z W N 0 a W 9 u M S 9 T Y 2 9 y Z X M v Q 2 h h b m d l Z C B U e X B l M S 5 7 U 2 N v c m U g U G V y Y 2 V u d G F n Z S w x M H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2 N v c m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b 3 J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b 3 J l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b 3 J l c y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b 3 J l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9 y Z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s a W N h d G l v b n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N v b H V t b k 5 h b W V z I i B W Y W x 1 Z T 0 i c 1 s m c X V v d D t P c m d h b m l 6 Y X R p b 2 4 g T m F t Z S Z x d W 9 0 O y w m c X V v d D t Q c m 9 q Z W N 0 I E 5 h b W U m c X V v d D s s J n F 1 b 3 Q 7 R l k y M D I x I E d y Y W 5 0 J n F 1 b 3 Q 7 L C Z x d W 9 0 O 0 Z Z M j A y M i B S Z X F 1 Z X N 0 J n F 1 b 3 Q 7 X S I g L z 4 8 R W 5 0 c n k g V H l w Z T 0 i R m l s b E N v b H V t b l R 5 c G V z I i B W Y W x 1 Z T 0 i c 0 J n W V J F U T 0 9 I i A v P j x F b n R y e S B U e X B l P S J G a W x s T G F z d F V w Z G F 0 Z W Q i I F Z h b H V l P S J k M j A y M S 0 w N C 0 w N l Q x M j o 1 N T o x N y 4 x O T Q 1 N T U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E 4 O D E x N j k y L T R k Z j Q t N G N l M S 0 5 Z T I 3 L T M w Y z R k M z B k Y m F h Z C I g L z 4 8 R W 5 0 c n k g V H l w Z T 0 i R m l s b F N 0 Y X R 1 c y I g V m F s d W U 9 I n N D b 2 1 w b G V 0 Z S I g L z 4 8 R W 5 0 c n k g V H l w Z T 0 i R m l s b E N v d W 5 0 I i B W Y W x 1 Z T 0 i b D I y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s a W N h d G l v b n M v Q 2 h h b m d l Z C B U e X B l L n t P c m d h b m l 6 Y X R p b 2 4 g T m F t Z S w w f S Z x d W 9 0 O y w m c X V v d D t T Z W N 0 a W 9 u M S 9 B c H B s a W N h d G l v b n M v Q 2 h h b m d l Z C B U e X B l L n t Q c m 9 q Z W N 0 I E 5 h b W U s M X 0 m c X V v d D s s J n F 1 b 3 Q 7 U 2 V j d G l v b j E v Q X B w b G l j Y X R p b 2 5 z L 0 N o Y W 5 n Z W Q g V H l w Z S 5 7 R l k y M D I x I E d y Y W 5 0 L D J 9 J n F 1 b 3 Q 7 L C Z x d W 9 0 O 1 N l Y 3 R p b 2 4 x L 0 F w c G x p Y 2 F 0 a W 9 u c y 9 D a G F u Z 2 V k I F R 5 c G U u e 0 Z Z M j A y M i B S Z X F 1 Z X N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F w c G x p Y 2 F 0 a W 9 u c y 9 D a G F u Z 2 V k I F R 5 c G U u e 0 9 y Z 2 F u a X p h d G l v b i B O Y W 1 l L D B 9 J n F 1 b 3 Q 7 L C Z x d W 9 0 O 1 N l Y 3 R p b 2 4 x L 0 F w c G x p Y 2 F 0 a W 9 u c y 9 D a G F u Z 2 V k I F R 5 c G U u e 1 B y b 2 p l Y 3 Q g T m F t Z S w x f S Z x d W 9 0 O y w m c X V v d D t T Z W N 0 a W 9 u M S 9 B c H B s a W N h d G l v b n M v Q 2 h h b m d l Z C B U e X B l L n t G W T I w M j E g R 3 J h b n Q s M n 0 m c X V v d D s s J n F 1 b 3 Q 7 U 2 V j d G l v b j E v Q X B w b G l j Y X R p b 2 5 z L 0 N o Y W 5 n Z W Q g V H l w Z S 5 7 R l k y M D I y I F J l c X V l c 3 Q s M 3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X B w b G l j Y X R p b 2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x p Y 2 F 0 a W 9 u c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0 z h n O r X Y G S J 6 x e / J g R g k B A A A A A A I A A A A A A A N m A A D A A A A A E A A A A A u L D W 3 0 y j N w C a v r B C m M Y N U A A A A A B I A A A K A A A A A Q A A A A E K l J a A B k Y k X d v L M k h o 7 y p F A A A A C G G N M K 1 5 P 8 o w X 1 f D h S p 2 Q y R 1 c z z Y I c W x j m + G i u J k d r D o r J / 7 V F k 6 e o A 1 8 7 z l Z y 3 t U x V R T n 3 C t 1 M Z B N Y K B y J K P C 4 y n H c 9 w s d B X I 0 S h X V 6 D V u R Q A A A D F h 7 a M Z 5 L V m + h q / x r D K O B 0 R z S s 4 Q = = < / D a t a M a s h u p > 
</file>

<file path=customXml/item27.xml>��< ? x m l   v e r s i o n = " 1 . 0 "   e n c o d i n g = " U T F - 1 6 " ? > < G e m i n i   x m l n s = " h t t p : / / g e m i n i / p i v o t c u s t o m i z a t i o n / C l i e n t W i n d o w X M L " > < C u s t o m C o n t e n t > < ! [ C D A T A [ S c o r e s _ e 2 9 a 0 e 4 4 - 0 1 a 8 - 4 e f c - a 9 1 6 - 3 0 1 c c 9 b a 4 4 4 3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6 a 3 d 9 9 d - 7 a 7 6 - 4 b 4 6 - 8 8 6 c - e 4 5 5 b 2 3 9 d c 4 2 " > < C u s t o m C o n t e n t > < ! [ C D A T A [ < ? x m l   v e r s i o n = " 1 . 0 "   e n c o d i n g = " u t f - 1 6 " ? > < S e t t i n g s > < C a l c u l a t e d F i e l d s > < i t e m > < M e a s u r e N a m e > S u m   o f   F Y 2 1   G r a n t   $ ' s < / M e a s u r e N a m e > < D i s p l a y N a m e > S u m   o f   F Y 2 1   G r a n t   $ ' s < / D i s p l a y N a m e > < V i s i b l e > F a l s e < / V i s i b l e > < / i t e m > < i t e m > < M e a s u r e N a m e > S u m   o f   F Y 2 2   R e q u e s t < / M e a s u r e N a m e > < D i s p l a y N a m e > S u m   o f   F Y 2 2   R e q u e s t < / D i s p l a y N a m e > < V i s i b l e > F a l s e < / V i s i b l e > < / i t e m > < i t e m > < M e a s u r e N a m e > S u m   o f   O v e r a l l < / M e a s u r e N a m e > < D i s p l a y N a m e > S u m   o f   O v e r a l l < / D i s p l a y N a m e > < V i s i b l e > F a l s e < / V i s i b l e > < / i t e m > < i t e m > < M e a s u r e N a m e > S u m   o f   B u d g e t < / M e a s u r e N a m e > < D i s p l a y N a m e > S u m   o f   B u d g e t < / D i s p l a y N a m e > < V i s i b l e > F a l s e < / V i s i b l e > < / i t e m > < i t e m > < M e a s u r e N a m e > S u m   o f   E q u i t y < / M e a s u r e N a m e > < D i s p l a y N a m e > S u m   o f   E q u i t y < / D i s p l a y N a m e > < V i s i b l e > F a l s e < / V i s i b l e > < / i t e m > < i t e m > < M e a s u r e N a m e > S u m   o f   C a p a c i t y < / M e a s u r e N a m e > < D i s p l a y N a m e > S u m   o f   C a p a c i t y < / D i s p l a y N a m e > < V i s i b l e > F a l s e < / V i s i b l e > < / i t e m > < i t e m > < M e a s u r e N a m e > S u m   o f   P r o p o s e d   R e s u l t s < / M e a s u r e N a m e > < D i s p l a y N a m e > S u m   o f   P r o p o s e d   R e s u l t s < / D i s p l a y N a m e > < V i s i b l e > F a l s e < / V i s i b l e > < / i t e m > < i t e m > < M e a s u r e N a m e > S u m   o f   P r o j e c t   P l a n < / M e a s u r e N a m e > < D i s p l a y N a m e > S u m   o f   P r o j e c t   P l a n < / D i s p l a y N a m e > < V i s i b l e > F a l s e < / V i s i b l e > < / i t e m > < i t e m > < M e a s u r e N a m e > S u m   o f   N e e d < / M e a s u r e N a m e > < D i s p l a y N a m e > S u m   o f   N e e d < / D i s p l a y N a m e > < V i s i b l e > F a l s e < / V i s i b l e > < / i t e m > < i t e m > < M e a s u r e N a m e > S u m   o f   T o t a l   P t s   C a l c < / M e a s u r e N a m e > < D i s p l a y N a m e > S u m   o f   T o t a l   P t s   C a l c < / D i s p l a y N a m e > < V i s i b l e > F a l s e < / V i s i b l e > < / i t e m > < i t e m > < M e a s u r e N a m e > S u m   o f   M a x   P o s s i b l e   P t s < / M e a s u r e N a m e > < D i s p l a y N a m e > S u m   o f   M a x   P o s s i b l e   P t s < / D i s p l a y N a m e > < V i s i b l e > F a l s e < / V i s i b l e > < / i t e m > < i t e m > < M e a s u r e N a m e > S c o r e   % < / M e a s u r e N a m e > < D i s p l a y N a m e > S c o r e   % < / D i s p l a y N a m e > < V i s i b l e > F a l s e < / V i s i b l e > < / i t e m > < i t e m > < M e a s u r e N a m e > E q u i t y   M a x   S c o r e < / M e a s u r e N a m e > < D i s p l a y N a m e > E q u i t y   M a x   S c o r e < / D i s p l a y N a m e > < V i s i b l e > F a l s e < / V i s i b l e > < / i t e m > < i t e m > < M e a s u r e N a m e > E q u i t y   % < / M e a s u r e N a m e > < D i s p l a y N a m e > E q u i t y   % < / D i s p l a y N a m e > < V i s i b l e > F a l s e < / V i s i b l e > < / i t e m > < i t e m > < M e a s u r e N a m e > R o w   C o u n t < / M e a s u r e N a m e > < D i s p l a y N a m e > R o w   C o u n t < / D i s p l a y N a m e > < V i s i b l e > F a l s e < / V i s i b l e > < / i t e m > < i t e m > < M e a s u r e N a m e > E q u i t y   R o w   C o u n t < / M e a s u r e N a m e > < D i s p l a y N a m e > E q u i t y   R o w   C o u n t < / D i s p l a y N a m e > < V i s i b l e > F a l s e < / V i s i b l e > < / i t e m > < i t e m > < M e a s u r e N a m e > T o t a l   P t s   R o w   C o u n t < / M e a s u r e N a m e > < D i s p l a y N a m e > T o t a l   P t s   R o w   C o u n t < / D i s p l a y N a m e > < V i s i b l e > F a l s e < / V i s i b l e > < / i t e m > < i t e m > < M e a s u r e N a m e > B u d g e t   M a x   S c o r e < / M e a s u r e N a m e > < D i s p l a y N a m e > B u d g e t   M a x   S c o r e < / D i s p l a y N a m e > < V i s i b l e > F a l s e < / V i s i b l e > < / i t e m > < i t e m > < M e a s u r e N a m e > B u g e t   % < / M e a s u r e N a m e > < D i s p l a y N a m e > B u g e t   % < / D i s p l a y N a m e > < V i s i b l e > F a l s e < / V i s i b l e > < / i t e m > < i t e m > < M e a s u r e N a m e > C a p a c i t y   M a x   S c o r e < / M e a s u r e N a m e > < D i s p l a y N a m e > C a p a c i t y   M a x   S c o r e < / D i s p l a y N a m e > < V i s i b l e > F a l s e < / V i s i b l e > < / i t e m > < i t e m > < M e a s u r e N a m e > C a p a c i t y   % < / M e a s u r e N a m e > < D i s p l a y N a m e > C a p a c i t y   % < / D i s p l a y N a m e > < V i s i b l e > F a l s e < / V i s i b l e > < / i t e m > < i t e m > < M e a s u r e N a m e > O v e r a l l   M a x   S c o r e < / M e a s u r e N a m e > < D i s p l a y N a m e > O v e r a l l   M a x   S c o r e < / D i s p l a y N a m e > < V i s i b l e > F a l s e < / V i s i b l e > < / i t e m > < i t e m > < M e a s u r e N a m e > O v e r a l l   % < / M e a s u r e N a m e > < D i s p l a y N a m e > O v e r a l l   % < / D i s p l a y N a m e > < V i s i b l e > F a l s e < / V i s i b l e > < / i t e m > < i t e m > < M e a s u r e N a m e > R e s u l t s   M a x   S c o r e < / M e a s u r e N a m e > < D i s p l a y N a m e > R e s u l t s   M a x   S c o r e < / D i s p l a y N a m e > < V i s i b l e > F a l s e < / V i s i b l e > < / i t e m > < i t e m > < M e a s u r e N a m e > R e s u l t s   % < / M e a s u r e N a m e > < D i s p l a y N a m e > R e s u l t s   % < / D i s p l a y N a m e > < V i s i b l e > F a l s e < / V i s i b l e > < / i t e m > < i t e m > < M e a s u r e N a m e > P l a n   M a x   S c o r e < / M e a s u r e N a m e > < D i s p l a y N a m e > P l a n   M a x   S c o r e < / D i s p l a y N a m e > < V i s i b l e > F a l s e < / V i s i b l e > < / i t e m > < i t e m > < M e a s u r e N a m e > P l a n   % < / M e a s u r e N a m e > < D i s p l a y N a m e > P l a n   % < / D i s p l a y N a m e > < V i s i b l e > F a l s e < / V i s i b l e > < / i t e m > < i t e m > < M e a s u r e N a m e > N e e d   M a x   S c o r e < / M e a s u r e N a m e > < D i s p l a y N a m e > N e e d   M a x   S c o r e < / D i s p l a y N a m e > < V i s i b l e > F a l s e < / V i s i b l e > < / i t e m > < i t e m > < M e a s u r e N a m e > N e e d   % < / M e a s u r e N a m e > < D i s p l a y N a m e > N e e d   % < / D i s p l a y N a m e > < V i s i b l e > F a l s e < / V i s i b l e > < / i t e m > < i t e m > < M e a s u r e N a m e > M a x .   P t s < / M e a s u r e N a m e > < D i s p l a y N a m e > M a x .   P t s < / D i s p l a y N a m e > < V i s i b l e > F a l s e < / V i s i b l e > < / i t e m > < i t e m > < M e a s u r e N a m e > M i n .   P t s < / M e a s u r e N a m e > < D i s p l a y N a m e > M i n .   P t s < / D i s p l a y N a m e > < V i s i b l e > F a l s e < / V i s i b l e > < / i t e m > < i t e m > < M e a s u r e N a m e > #   S c o r i n g < / M e a s u r e N a m e > < D i s p l a y N a m e > #   S c o r i n g 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0 0 7 6 1 a f 3 - 0 b b f - 4 0 6 6 - 8 6 2 e - c 5 3 6 b 7 e a e f 7 0 " > < C u s t o m C o n t e n t > < ! [ C D A T A [ < ? x m l   v e r s i o n = " 1 . 0 "   e n c o d i n g = " u t f - 1 6 " ? > < S e t t i n g s > < C a l c u l a t e d F i e l d s > < i t e m > < M e a s u r e N a m e > S u m   o f   F Y 2 1   G r a n t   $ ' s < / M e a s u r e N a m e > < D i s p l a y N a m e > S u m   o f   F Y 2 1   G r a n t   $ ' s < / D i s p l a y N a m e > < V i s i b l e > F a l s e < / V i s i b l e > < / i t e m > < i t e m > < M e a s u r e N a m e > S u m   o f   F Y 2 2   R e q u e s t < / M e a s u r e N a m e > < D i s p l a y N a m e > S u m   o f   F Y 2 2   R e q u e s t < / D i s p l a y N a m e > < V i s i b l e > F a l s e < / V i s i b l e > < / i t e m > < i t e m > < M e a s u r e N a m e > S u m   o f   O v e r a l l < / M e a s u r e N a m e > < D i s p l a y N a m e > S u m   o f   O v e r a l l < / D i s p l a y N a m e > < V i s i b l e > F a l s e < / V i s i b l e > < / i t e m > < i t e m > < M e a s u r e N a m e > S u m   o f   B u d g e t < / M e a s u r e N a m e > < D i s p l a y N a m e > S u m   o f   B u d g e t < / D i s p l a y N a m e > < V i s i b l e > F a l s e < / V i s i b l e > < / i t e m > < i t e m > < M e a s u r e N a m e > S u m   o f   E q u i t y < / M e a s u r e N a m e > < D i s p l a y N a m e > S u m   o f   E q u i t y < / D i s p l a y N a m e > < V i s i b l e > F a l s e < / V i s i b l e > < / i t e m > < i t e m > < M e a s u r e N a m e > S u m   o f   C a p a c i t y < / M e a s u r e N a m e > < D i s p l a y N a m e > S u m   o f   C a p a c i t y < / D i s p l a y N a m e > < V i s i b l e > F a l s e < / V i s i b l e > < / i t e m > < i t e m > < M e a s u r e N a m e > S u m   o f   P r o p o s e d   R e s u l t s < / M e a s u r e N a m e > < D i s p l a y N a m e > S u m   o f   P r o p o s e d   R e s u l t s < / D i s p l a y N a m e > < V i s i b l e > F a l s e < / V i s i b l e > < / i t e m > < i t e m > < M e a s u r e N a m e > S u m   o f   P r o j e c t   P l a n < / M e a s u r e N a m e > < D i s p l a y N a m e > S u m   o f   P r o j e c t   P l a n < / D i s p l a y N a m e > < V i s i b l e > F a l s e < / V i s i b l e > < / i t e m > < i t e m > < M e a s u r e N a m e > S u m   o f   N e e d < / M e a s u r e N a m e > < D i s p l a y N a m e > S u m   o f   N e e d < / D i s p l a y N a m e > < V i s i b l e > F a l s e < / V i s i b l e > < / i t e m > < i t e m > < M e a s u r e N a m e > S u m   o f   T o t a l   P t s   C a l c < / M e a s u r e N a m e > < D i s p l a y N a m e > S u m   o f   T o t a l   P t s   C a l c < / D i s p l a y N a m e > < V i s i b l e > F a l s e < / V i s i b l e > < / i t e m > < i t e m > < M e a s u r e N a m e > S u m   o f   M a x   P o s s i b l e   P t s < / M e a s u r e N a m e > < D i s p l a y N a m e > S u m   o f   M a x   P o s s i b l e   P t s < / D i s p l a y N a m e > < V i s i b l e > F a l s e < / V i s i b l e > < / i t e m > < i t e m > < M e a s u r e N a m e > S c o r e   % < / M e a s u r e N a m e > < D i s p l a y N a m e > S c o r e   % < / D i s p l a y N a m e > < V i s i b l e > F a l s e < / V i s i b l e > < / i t e m > < i t e m > < M e a s u r e N a m e > E q u i t y   M a x   S c o r e < / M e a s u r e N a m e > < D i s p l a y N a m e > E q u i t y   M a x   S c o r e < / D i s p l a y N a m e > < V i s i b l e > F a l s e < / V i s i b l e > < / i t e m > < i t e m > < M e a s u r e N a m e > E q u i t y   % < / M e a s u r e N a m e > < D i s p l a y N a m e > E q u i t y   % < / D i s p l a y N a m e > < V i s i b l e > F a l s e < / V i s i b l e > < / i t e m > < i t e m > < M e a s u r e N a m e > R o w   C o u n t < / M e a s u r e N a m e > < D i s p l a y N a m e > R o w   C o u n t < / D i s p l a y N a m e > < V i s i b l e > F a l s e < / V i s i b l e > < / i t e m > < i t e m > < M e a s u r e N a m e > E q u i t y   R o w   C o u n t < / M e a s u r e N a m e > < D i s p l a y N a m e > E q u i t y   R o w   C o u n t < / D i s p l a y N a m e > < V i s i b l e > F a l s e < / V i s i b l e > < / i t e m > < i t e m > < M e a s u r e N a m e > T o t a l   P t s   R o w   C o u n t < / M e a s u r e N a m e > < D i s p l a y N a m e > T o t a l   P t s   R o w   C o u n t < / D i s p l a y N a m e > < V i s i b l e > F a l s e < / V i s i b l e > < / i t e m > < i t e m > < M e a s u r e N a m e > B u d g e t   M a x   S c o r e < / M e a s u r e N a m e > < D i s p l a y N a m e > B u d g e t   M a x   S c o r e < / D i s p l a y N a m e > < V i s i b l e > F a l s e < / V i s i b l e > < / i t e m > < i t e m > < M e a s u r e N a m e > B u g e t   % < / M e a s u r e N a m e > < D i s p l a y N a m e > B u g e t   % < / D i s p l a y N a m e > < V i s i b l e > F a l s e < / V i s i b l e > < / i t e m > < i t e m > < M e a s u r e N a m e > C a p a c i t y   M a x   S c o r e < / M e a s u r e N a m e > < D i s p l a y N a m e > C a p a c i t y   M a x   S c o r e < / D i s p l a y N a m e > < V i s i b l e > F a l s e < / V i s i b l e > < / i t e m > < i t e m > < M e a s u r e N a m e > C a p a c i t y   % < / M e a s u r e N a m e > < D i s p l a y N a m e > C a p a c i t y   % < / D i s p l a y N a m e > < V i s i b l e > F a l s e < / V i s i b l e > < / i t e m > < i t e m > < M e a s u r e N a m e > O v e r a l l   M a x   S c o r e < / M e a s u r e N a m e > < D i s p l a y N a m e > O v e r a l l   M a x   S c o r e < / D i s p l a y N a m e > < V i s i b l e > F a l s e < / V i s i b l e > < / i t e m > < i t e m > < M e a s u r e N a m e > O v e r a l l   % < / M e a s u r e N a m e > < D i s p l a y N a m e > O v e r a l l   % < / D i s p l a y N a m e > < V i s i b l e > F a l s e < / V i s i b l e > < / i t e m > < i t e m > < M e a s u r e N a m e > R e s u l t s   M a x   S c o r e < / M e a s u r e N a m e > < D i s p l a y N a m e > R e s u l t s   M a x   S c o r e < / D i s p l a y N a m e > < V i s i b l e > F a l s e < / V i s i b l e > < / i t e m > < i t e m > < M e a s u r e N a m e > R e s u l t s   % < / M e a s u r e N a m e > < D i s p l a y N a m e > R e s u l t s   % < / D i s p l a y N a m e > < V i s i b l e > F a l s e < / V i s i b l e > < / i t e m > < i t e m > < M e a s u r e N a m e > P l a n   M a x   S c o r e < / M e a s u r e N a m e > < D i s p l a y N a m e > P l a n   M a x   S c o r e < / D i s p l a y N a m e > < V i s i b l e > F a l s e < / V i s i b l e > < / i t e m > < i t e m > < M e a s u r e N a m e > P l a n   % < / M e a s u r e N a m e > < D i s p l a y N a m e > P l a n   % < / D i s p l a y N a m e > < V i s i b l e > F a l s e < / V i s i b l e > < / i t e m > < i t e m > < M e a s u r e N a m e > N e e d   M a x   S c o r e < / M e a s u r e N a m e > < D i s p l a y N a m e > N e e d   M a x   S c o r e < / D i s p l a y N a m e > < V i s i b l e > F a l s e < / V i s i b l e > < / i t e m > < i t e m > < M e a s u r e N a m e > N e e d   % < / M e a s u r e N a m e > < D i s p l a y N a m e > N e e d   % < / D i s p l a y N a m e > < V i s i b l e > F a l s e < / V i s i b l e > < / i t e m > < i t e m > < M e a s u r e N a m e > M a x .   P t s < / M e a s u r e N a m e > < D i s p l a y N a m e > M a x .   P t s < / D i s p l a y N a m e > < V i s i b l e > F a l s e < / V i s i b l e > < / i t e m > < i t e m > < M e a s u r e N a m e > M i n .   P t s < / M e a s u r e N a m e > < D i s p l a y N a m e > M i n .   P t s 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 2 0 2 1 - 0 4 - 1 6 T 1 6 : 5 3 : 0 4 . 5 7 9 5 4 1 7 - 0 4 : 0 0 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A p p l i c a t i o n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 i : t y p e = " S a n d b o x E d i t o r M e a s u r e G r i d K e y " & g t ; & l t ; T a b l e N a m e & g t ; A p p l i c a t i o n s & l t ; / T a b l e N a m e & g t ; & l t ; / K e y & g t ; & l t ; M a i n t a i n e r 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 r e a d o n l y & l t ; / K e y & g t ; & l t ; / D i a g r a m O b j e c t K e y & g t ; & l t ; D i a g r a m O b j e c t K e y & g t ; & l t ; K e y & g t ; C o l u m n s \ O r g a n i z a t i o n   N a m e & l t ; / K e y & g t ; & l t ; / D i a g r a m O b j e c t K e y & g t ; & l t ; D i a g r a m O b j e c t K e y & g t ; & l t ; K e y & g t ; C o l u m n s \ P r o j e c t   N a m e & l t ; / K e y & g t ; & l t ; / D i a g r a m O b j e c t K e y & g t ; & l t ; D i a g r a m O b j e c t K e y & g t ; & l t ; K e y & g t ; C o l u m n s \ F Y 2 0 2 1   G r a n t & l t ; / K e y & g t ; & l t ; / D i a g r a m O b j e c t K e y & g t ; & l t ; D i a g r a m O b j e c t K e y & g t ; & l t ; K e y & g t ; C o l u m n s \ F Y 2 0 2 2   R e q u e s t & l t ; / K e y & g t ; & l t ; / D i a g r a m O b j e c t K e y & g t ; & l t ; D i a g r a m O b j e c t K e y & g t ; & l t ; K e y & g t ; C o l u m n s \ L o o k u p K e y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0 2 1   G r a n t & l t ; / K e y & g t ; & l t ; / a : K e y & g t ; & l t ; a : V a l u e 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0 2 2   R e q u e s t & l t ; / K e y & g t ; & l t ; / a : K e y & g t ; & l t ; a : V a l u e 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o o k u p K e y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c o r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 i : t y p e = " S a n d b o x E d i t o r M e a s u r e G r i d K e y " & g t ; & l t ; T a b l e N a m e & g t ; S c o r e s & l t ; / T a b l e N a m e & g t ; & l t ; / K e y & g t ; & l t ; M a i n t a i n e r 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 E q u i t y   2 & l t ; / K e y & g t ; & l t ; / D i a g r a m O b j e c t K e y & g t ; & l t ; D i a g r a m O b j e c t K e y & g t ; & l t ; K e y & g t ; M e a s u r e s \ S u m   o f   E q u i t y   2 \ T a g I n f o \ F o r m u l a & l t ; / K e y & g t ; & l t ; / D i a g r a m O b j e c t K e y & g t ; & l t ; D i a g r a m O b j e c t K e y & g t ; & l t ; K e y & g t ; M e a s u r e s \ S u m   o f   E q u i t y   2 \ T a g I n f o \ V a l u e & l t ; / K e y & g t ; & l t ; / D i a g r a m O b j e c t K e y & g t ; & l t ; D i a g r a m O b j e c t K e y & g t ; & l t ; K e y & g t ; M e a s u r e s \ S u m   o f   B u d g e t   2 & l t ; / K e y & g t ; & l t ; / D i a g r a m O b j e c t K e y & g t ; & l t ; D i a g r a m O b j e c t K e y & g t ; & l t ; K e y & g t ; M e a s u r e s \ S u m   o f   B u d g e t   2 \ T a g I n f o \ F o r m u l a & l t ; / K e y & g t ; & l t ; / D i a g r a m O b j e c t K e y & g t ; & l t ; D i a g r a m O b j e c t K e y & g t ; & l t ; K e y & g t ; M e a s u r e s \ S u m   o f   B u d g e t   2 \ T a g I n f o \ V a l u e & l t ; / K e y & g t ; & l t ; / D i a g r a m O b j e c t K e y & g t ; & l t ; D i a g r a m O b j e c t K e y & g t ; & l t ; K e y & g t ; M e a s u r e s \ S u m   o f   O v e r a l l   2 & l t ; / K e y & g t ; & l t ; / D i a g r a m O b j e c t K e y & g t ; & l t ; D i a g r a m O b j e c t K e y & g t ; & l t ; K e y & g t ; M e a s u r e s \ S u m   o f   O v e r a l l   2 \ T a g I n f o \ F o r m u l a & l t ; / K e y & g t ; & l t ; / D i a g r a m O b j e c t K e y & g t ; & l t ; D i a g r a m O b j e c t K e y & g t ; & l t ; K e y & g t ; M e a s u r e s \ S u m   o f   O v e r a l l   2 \ T a g I n f o \ V a l u e & l t ; / K e y & g t ; & l t ; / D i a g r a m O b j e c t K e y & g t ; & l t ; D i a g r a m O b j e c t K e y & g t ; & l t ; K e y & g t ; M e a s u r e s \ S u m   o f   C a p a c i t y   2 & l t ; / K e y & g t ; & l t ; / D i a g r a m O b j e c t K e y & g t ; & l t ; D i a g r a m O b j e c t K e y & g t ; & l t ; K e y & g t ; M e a s u r e s \ S u m   o f   C a p a c i t y   2 \ T a g I n f o \ F o r m u l a & l t ; / K e y & g t ; & l t ; / D i a g r a m O b j e c t K e y & g t ; & l t ; D i a g r a m O b j e c t K e y & g t ; & l t ; K e y & g t ; M e a s u r e s \ S u m   o f   C a p a c i t y   2 \ T a g I n f o \ V a l u e & l t ; / K e y & g t ; & l t ; / D i a g r a m O b j e c t K e y & g t ; & l t ; D i a g r a m O b j e c t K e y & g t ; & l t ; K e y & g t ; M e a s u r e s \ S u m   o f   P r o p o s e d   R e s u l t s   2 & l t ; / K e y & g t ; & l t ; / D i a g r a m O b j e c t K e y & g t ; & l t ; D i a g r a m O b j e c t K e y & g t ; & l t ; K e y & g t ; M e a s u r e s \ S u m   o f   P r o p o s e d   R e s u l t s   2 \ T a g I n f o \ F o r m u l a & l t ; / K e y & g t ; & l t ; / D i a g r a m O b j e c t K e y & g t ; & l t ; D i a g r a m O b j e c t K e y & g t ; & l t ; K e y & g t ; M e a s u r e s \ S u m   o f   P r o p o s e d   R e s u l t s   2 \ T a g I n f o \ V a l u e & l t ; / K e y & g t ; & l t ; / D i a g r a m O b j e c t K e y & g t ; & l t ; D i a g r a m O b j e c t K e y & g t ; & l t ; K e y & g t ; M e a s u r e s \ S u m   o f   P r o j e c t   P l a n   2 & l t ; / K e y & g t ; & l t ; / D i a g r a m O b j e c t K e y & g t ; & l t ; D i a g r a m O b j e c t K e y & g t ; & l t ; K e y & g t ; M e a s u r e s \ S u m   o f   P r o j e c t   P l a n   2 \ T a g I n f o \ F o r m u l a & l t ; / K e y & g t ; & l t ; / D i a g r a m O b j e c t K e y & g t ; & l t ; D i a g r a m O b j e c t K e y & g t ; & l t ; K e y & g t ; M e a s u r e s \ S u m   o f   P r o j e c t   P l a n   2 \ T a g I n f o \ V a l u e & l t ; / K e y & g t ; & l t ; / D i a g r a m O b j e c t K e y & g t ; & l t ; D i a g r a m O b j e c t K e y & g t ; & l t ; K e y & g t ; M e a s u r e s \ S u m   o f   N e e d   2 & l t ; / K e y & g t ; & l t ; / D i a g r a m O b j e c t K e y & g t ; & l t ; D i a g r a m O b j e c t K e y & g t ; & l t ; K e y & g t ; M e a s u r e s \ S u m   o f   N e e d   2 \ T a g I n f o \ F o r m u l a & l t ; / K e y & g t ; & l t ; / D i a g r a m O b j e c t K e y & g t ; & l t ; D i a g r a m O b j e c t K e y & g t ; & l t ; K e y & g t ; M e a s u r e s \ S u m   o f   N e e d   2 \ T a g I n f o \ V a l u e & l t ; / K e y & g t ; & l t ; / D i a g r a m O b j e c t K e y & g t ; & l t ; D i a g r a m O b j e c t K e y & g t ; & l t ; K e y & g t ; M e a s u r e s \ S u m   o f   S c o r i n g   C o u n t & l t ; / K e y & g t ; & l t ; / D i a g r a m O b j e c t K e y & g t ; & l t ; D i a g r a m O b j e c t K e y & g t ; & l t ; K e y & g t ; M e a s u r e s \ S u m   o f   S c o r i n g   C o u n t \ T a g I n f o \ F o r m u l a & l t ; / K e y & g t ; & l t ; / D i a g r a m O b j e c t K e y & g t ; & l t ; D i a g r a m O b j e c t K e y & g t ; & l t ; K e y & g t ; M e a s u r e s \ S u m   o f   S c o r i n g   C o u n t \ T a g I n f o \ V a l u e & l t ; / K e y & g t ; & l t ; / D i a g r a m O b j e c t K e y & g t ; & l t ; D i a g r a m O b j e c t K e y & g t ; & l t ; K e y & g t ; M e a s u r e s \ S u m   o f   T o t a l   P t s   C a l c   2 & l t ; / K e y & g t ; & l t ; / D i a g r a m O b j e c t K e y & g t ; & l t ; D i a g r a m O b j e c t K e y & g t ; & l t ; K e y & g t ; M e a s u r e s \ S u m   o f   T o t a l   P t s   C a l c   2 \ T a g I n f o \ F o r m u l a & l t ; / K e y & g t ; & l t ; / D i a g r a m O b j e c t K e y & g t ; & l t ; D i a g r a m O b j e c t K e y & g t ; & l t ; K e y & g t ; M e a s u r e s \ S u m   o f   T o t a l   P t s   C a l c   2 \ T a g I n f o \ V a l u e & l t ; / K e y & g t ; & l t ; / D i a g r a m O b j e c t K e y & g t ; & l t ; D i a g r a m O b j e c t K e y & g t ; & l t ; K e y & g t ; M e a s u r e s \ S u m   o f   F Y 2 1   G r a n t   $ ' s & l t ; / K e y & g t ; & l t ; / D i a g r a m O b j e c t K e y & g t ; & l t ; D i a g r a m O b j e c t K e y & g t ; & l t ; K e y & g t ; M e a s u r e s \ S u m   o f   F Y 2 1   G r a n t   $ ' s \ T a g I n f o \ F o r m u l a & l t ; / K e y & g t ; & l t ; / D i a g r a m O b j e c t K e y & g t ; & l t ; D i a g r a m O b j e c t K e y & g t ; & l t ; K e y & g t ; M e a s u r e s \ S u m   o f   F Y 2 1   G r a n t   $ ' s \ T a g I n f o \ V a l u e & l t ; / K e y & g t ; & l t ; / D i a g r a m O b j e c t K e y & g t ; & l t ; D i a g r a m O b j e c t K e y & g t ; & l t ; K e y & g t ; M e a s u r e s \ S u m   o f   F Y 2 2   R e q u e s t & l t ; / K e y & g t ; & l t ; / D i a g r a m O b j e c t K e y & g t ; & l t ; D i a g r a m O b j e c t K e y & g t ; & l t ; K e y & g t ; M e a s u r e s \ S u m   o f   F Y 2 2   R e q u e s t \ T a g I n f o \ F o r m u l a & l t ; / K e y & g t ; & l t ; / D i a g r a m O b j e c t K e y & g t ; & l t ; D i a g r a m O b j e c t K e y & g t ; & l t ; K e y & g t ; M e a s u r e s \ S u m   o f   F Y 2 2   R e q u e s t \ T a g I n f o \ V a l u e & l t ; / K e y & g t ; & l t ; / D i a g r a m O b j e c t K e y & g t ; & l t ; D i a g r a m O b j e c t K e y & g t ; & l t ; K e y & g t ; M e a s u r e s \ S u m   o f   O v e r a l l & l t ; / K e y & g t ; & l t ; / D i a g r a m O b j e c t K e y & g t ; & l t ; D i a g r a m O b j e c t K e y & g t ; & l t ; K e y & g t ; M e a s u r e s \ S u m   o f   O v e r a l l \ T a g I n f o \ F o r m u l a & l t ; / K e y & g t ; & l t ; / D i a g r a m O b j e c t K e y & g t ; & l t ; D i a g r a m O b j e c t K e y & g t ; & l t ; K e y & g t ; M e a s u r e s \ S u m   o f   O v e r a l l \ T a g I n f o \ V a l u e & l t ; / K e y & g t ; & l t ; / D i a g r a m O b j e c t K e y & g t ; & l t ; D i a g r a m O b j e c t K e y & g t ; & l t ; K e y & g t ; M e a s u r e s \ S u m   o f   B u d g e t & l t ; / K e y & g t ; & l t ; / D i a g r a m O b j e c t K e y & g t ; & l t ; D i a g r a m O b j e c t K e y & g t ; & l t ; K e y & g t ; M e a s u r e s \ S u m   o f   B u d g e t \ T a g I n f o \ F o r m u l a & l t ; / K e y & g t ; & l t ; / D i a g r a m O b j e c t K e y & g t ; & l t ; D i a g r a m O b j e c t K e y & g t ; & l t ; K e y & g t ; M e a s u r e s \ S u m   o f   B u d g e t \ T a g I n f o \ V a l u e & l t ; / K e y & g t ; & l t ; / D i a g r a m O b j e c t K e y & g t ; & l t ; D i a g r a m O b j e c t K e y & g t ; & l t ; K e y & g t ; M e a s u r e s \ S u m   o f   E q u i t y & l t ; / K e y & g t ; & l t ; / D i a g r a m O b j e c t K e y & g t ; & l t ; D i a g r a m O b j e c t K e y & g t ; & l t ; K e y & g t ; M e a s u r e s \ S u m   o f   E q u i t y \ T a g I n f o \ F o r m u l a & l t ; / K e y & g t ; & l t ; / D i a g r a m O b j e c t K e y & g t ; & l t ; D i a g r a m O b j e c t K e y & g t ; & l t ; K e y & g t ; M e a s u r e s \ S u m   o f   E q u i t y \ T a g I n f o \ V a l u e & l t ; / K e y & g t ; & l t ; / D i a g r a m O b j e c t K e y & g t ; & l t ; D i a g r a m O b j e c t K e y & g t ; & l t ; K e y & g t ; M e a s u r e s \ S u m   o f   C a p a c i t y & l t ; / K e y & g t ; & l t ; / D i a g r a m O b j e c t K e y & g t ; & l t ; D i a g r a m O b j e c t K e y & g t ; & l t ; K e y & g t ; M e a s u r e s \ S u m   o f   C a p a c i t y \ T a g I n f o \ F o r m u l a & l t ; / K e y & g t ; & l t ; / D i a g r a m O b j e c t K e y & g t ; & l t ; D i a g r a m O b j e c t K e y & g t ; & l t ; K e y & g t ; M e a s u r e s \ S u m   o f   C a p a c i t y \ T a g I n f o \ V a l u e & l t ; / K e y & g t ; & l t ; / D i a g r a m O b j e c t K e y & g t ; & l t ; D i a g r a m O b j e c t K e y & g t ; & l t ; K e y & g t ; M e a s u r e s \ S u m   o f   P r o p o s e d   R e s u l t s & l t ; / K e y & g t ; & l t ; / D i a g r a m O b j e c t K e y & g t ; & l t ; D i a g r a m O b j e c t K e y & g t ; & l t ; K e y & g t ; M e a s u r e s \ S u m   o f   P r o p o s e d   R e s u l t s \ T a g I n f o \ F o r m u l a & l t ; / K e y & g t ; & l t ; / D i a g r a m O b j e c t K e y & g t ; & l t ; D i a g r a m O b j e c t K e y & g t ; & l t ; K e y & g t ; M e a s u r e s \ S u m   o f   P r o p o s e d   R e s u l t s \ T a g I n f o \ V a l u e & l t ; / K e y & g t ; & l t ; / D i a g r a m O b j e c t K e y & g t ; & l t ; D i a g r a m O b j e c t K e y & g t ; & l t ; K e y & g t ; M e a s u r e s \ S u m   o f   P r o j e c t   P l a n & l t ; / K e y & g t ; & l t ; / D i a g r a m O b j e c t K e y & g t ; & l t ; D i a g r a m O b j e c t K e y & g t ; & l t ; K e y & g t ; M e a s u r e s \ S u m   o f   P r o j e c t   P l a n \ T a g I n f o \ F o r m u l a & l t ; / K e y & g t ; & l t ; / D i a g r a m O b j e c t K e y & g t ; & l t ; D i a g r a m O b j e c t K e y & g t ; & l t ; K e y & g t ; M e a s u r e s \ S u m   o f   P r o j e c t   P l a n \ T a g I n f o \ V a l u e & l t ; / K e y & g t ; & l t ; / D i a g r a m O b j e c t K e y & g t ; & l t ; D i a g r a m O b j e c t K e y & g t ; & l t ; K e y & g t ; M e a s u r e s \ S u m   o f   N e e d & l t ; / K e y & g t ; & l t ; / D i a g r a m O b j e c t K e y & g t ; & l t ; D i a g r a m O b j e c t K e y & g t ; & l t ; K e y & g t ; M e a s u r e s \ S u m   o f   N e e d \ T a g I n f o \ F o r m u l a & l t ; / K e y & g t ; & l t ; / D i a g r a m O b j e c t K e y & g t ; & l t ; D i a g r a m O b j e c t K e y & g t ; & l t ; K e y & g t ; M e a s u r e s \ S u m   o f   N e e d \ T a g I n f o \ V a l u e & l t ; / K e y & g t ; & l t ; / D i a g r a m O b j e c t K e y & g t ; & l t ; D i a g r a m O b j e c t K e y & g t ; & l t ; K e y & g t ; M e a s u r e s \ S u m   o f   T o t a l   P t s   C a l c & l t ; / K e y & g t ; & l t ; / D i a g r a m O b j e c t K e y & g t ; & l t ; D i a g r a m O b j e c t K e y & g t ; & l t ; K e y & g t ; M e a s u r e s \ S u m   o f   T o t a l   P t s   C a l c \ T a g I n f o \ F o r m u l a & l t ; / K e y & g t ; & l t ; / D i a g r a m O b j e c t K e y & g t ; & l t ; D i a g r a m O b j e c t K e y & g t ; & l t ; K e y & g t ; M e a s u r e s \ S u m   o f   T o t a l   P t s   C a l c \ T a g I n f o \ V a l u e & l t ; / K e y & g t ; & l t ; / D i a g r a m O b j e c t K e y & g t ; & l t ; D i a g r a m O b j e c t K e y & g t ; & l t ; K e y & g t ; M e a s u r e s \ S u m   o f   M a x   P o s s i b l e   P t s & l t ; / K e y & g t ; & l t ; / D i a g r a m O b j e c t K e y & g t ; & l t ; D i a g r a m O b j e c t K e y & g t ; & l t ; K e y & g t ; M e a s u r e s \ S u m   o f   M a x   P o s s i b l e   P t s \ T a g I n f o \ F o r m u l a & l t ; / K e y & g t ; & l t ; / D i a g r a m O b j e c t K e y & g t ; & l t ; D i a g r a m O b j e c t K e y & g t ; & l t ; K e y & g t ; M e a s u r e s \ S u m   o f   M a x   P o s s i b l e   P t s \ T a g I n f o \ V a l u e & l t ; / K e y & g t ; & l t ; / D i a g r a m O b j e c t K e y & g t ; & l t ; D i a g r a m O b j e c t K e y & g t ; & l t ; K e y & g t ; M e a s u r e s \ S c o r e   % & l t ; / K e y & g t ; & l t ; / D i a g r a m O b j e c t K e y & g t ; & l t ; D i a g r a m O b j e c t K e y & g t ; & l t ; K e y & g t ; M e a s u r e s \ S c o r e   % \ T a g I n f o \ F o r m u l a & l t ; / K e y & g t ; & l t ; / D i a g r a m O b j e c t K e y & g t ; & l t ; D i a g r a m O b j e c t K e y & g t ; & l t ; K e y & g t ; M e a s u r e s \ S c o r e   % \ T a g I n f o \ V a l u e & l t ; / K e y & g t ; & l t ; / D i a g r a m O b j e c t K e y & g t ; & l t ; D i a g r a m O b j e c t K e y & g t ; & l t ; K e y & g t ; M e a s u r e s \ E q u i t y   M a x   S c o r e & l t ; / K e y & g t ; & l t ; / D i a g r a m O b j e c t K e y & g t ; & l t ; D i a g r a m O b j e c t K e y & g t ; & l t ; K e y & g t ; M e a s u r e s \ E q u i t y   M a x   S c o r e \ T a g I n f o \ F o r m u l a & l t ; / K e y & g t ; & l t ; / D i a g r a m O b j e c t K e y & g t ; & l t ; D i a g r a m O b j e c t K e y & g t ; & l t ; K e y & g t ; M e a s u r e s \ E q u i t y   M a x   S c o r e \ T a g I n f o \ V a l u e & l t ; / K e y & g t ; & l t ; / D i a g r a m O b j e c t K e y & g t ; & l t ; D i a g r a m O b j e c t K e y & g t ; & l t ; K e y & g t ; M e a s u r e s \ E q u i t y   % & l t ; / K e y & g t ; & l t ; / D i a g r a m O b j e c t K e y & g t ; & l t ; D i a g r a m O b j e c t K e y & g t ; & l t ; K e y & g t ; M e a s u r e s \ E q u i t y   % \ T a g I n f o \ F o r m u l a & l t ; / K e y & g t ; & l t ; / D i a g r a m O b j e c t K e y & g t ; & l t ; D i a g r a m O b j e c t K e y & g t ; & l t ; K e y & g t ; M e a s u r e s \ E q u i t y   % \ T a g I n f o \ V a l u e & l t ; / K e y & g t ; & l t ; / D i a g r a m O b j e c t K e y & g t ; & l t ; D i a g r a m O b j e c t K e y & g t ; & l t ; K e y & g t ; M e a s u r e s \ R o w   C o u n t & l t ; / K e y & g t ; & l t ; / D i a g r a m O b j e c t K e y & g t ; & l t ; D i a g r a m O b j e c t K e y & g t ; & l t ; K e y & g t ; M e a s u r e s \ R o w   C o u n t \ T a g I n f o \ F o r m u l a & l t ; / K e y & g t ; & l t ; / D i a g r a m O b j e c t K e y & g t ; & l t ; D i a g r a m O b j e c t K e y & g t ; & l t ; K e y & g t ; M e a s u r e s \ R o w   C o u n t \ T a g I n f o \ V a l u e & l t ; / K e y & g t ; & l t ; / D i a g r a m O b j e c t K e y & g t ; & l t ; D i a g r a m O b j e c t K e y & g t ; & l t ; K e y & g t ; M e a s u r e s \ E q u i t y   R o w   C o u n t & l t ; / K e y & g t ; & l t ; / D i a g r a m O b j e c t K e y & g t ; & l t ; D i a g r a m O b j e c t K e y & g t ; & l t ; K e y & g t ; M e a s u r e s \ E q u i t y   R o w   C o u n t \ T a g I n f o \ F o r m u l a & l t ; / K e y & g t ; & l t ; / D i a g r a m O b j e c t K e y & g t ; & l t ; D i a g r a m O b j e c t K e y & g t ; & l t ; K e y & g t ; M e a s u r e s \ E q u i t y   R o w   C o u n t \ T a g I n f o \ V a l u e & l t ; / K e y & g t ; & l t ; / D i a g r a m O b j e c t K e y & g t ; & l t ; D i a g r a m O b j e c t K e y & g t ; & l t ; K e y & g t ; M e a s u r e s \ T o t a l   P t s   R o w   C o u n t & l t ; / K e y & g t ; & l t ; / D i a g r a m O b j e c t K e y & g t ; & l t ; D i a g r a m O b j e c t K e y & g t ; & l t ; K e y & g t ; M e a s u r e s \ T o t a l   P t s   R o w   C o u n t \ T a g I n f o \ F o r m u l a & l t ; / K e y & g t ; & l t ; / D i a g r a m O b j e c t K e y & g t ; & l t ; D i a g r a m O b j e c t K e y & g t ; & l t ; K e y & g t ; M e a s u r e s \ T o t a l   P t s   R o w   C o u n t \ T a g I n f o \ V a l u e & l t ; / K e y & g t ; & l t ; / D i a g r a m O b j e c t K e y & g t ; & l t ; D i a g r a m O b j e c t K e y & g t ; & l t ; K e y & g t ; M e a s u r e s \ B u d g e t   M a x   S c o r e & l t ; / K e y & g t ; & l t ; / D i a g r a m O b j e c t K e y & g t ; & l t ; D i a g r a m O b j e c t K e y & g t ; & l t ; K e y & g t ; M e a s u r e s \ B u d g e t   M a x   S c o r e \ T a g I n f o \ F o r m u l a & l t ; / K e y & g t ; & l t ; / D i a g r a m O b j e c t K e y & g t ; & l t ; D i a g r a m O b j e c t K e y & g t ; & l t ; K e y & g t ; M e a s u r e s \ B u d g e t   M a x   S c o r e \ T a g I n f o \ V a l u e & l t ; / K e y & g t ; & l t ; / D i a g r a m O b j e c t K e y & g t ; & l t ; D i a g r a m O b j e c t K e y & g t ; & l t ; K e y & g t ; M e a s u r e s \ B u g e t   % & l t ; / K e y & g t ; & l t ; / D i a g r a m O b j e c t K e y & g t ; & l t ; D i a g r a m O b j e c t K e y & g t ; & l t ; K e y & g t ; M e a s u r e s \ B u g e t   % \ T a g I n f o \ F o r m u l a & l t ; / K e y & g t ; & l t ; / D i a g r a m O b j e c t K e y & g t ; & l t ; D i a g r a m O b j e c t K e y & g t ; & l t ; K e y & g t ; M e a s u r e s \ B u g e t   % \ T a g I n f o \ V a l u e & l t ; / K e y & g t ; & l t ; / D i a g r a m O b j e c t K e y & g t ; & l t ; D i a g r a m O b j e c t K e y & g t ; & l t ; K e y & g t ; M e a s u r e s \ C a p a c i t y   M a x   S c o r e & l t ; / K e y & g t ; & l t ; / D i a g r a m O b j e c t K e y & g t ; & l t ; D i a g r a m O b j e c t K e y & g t ; & l t ; K e y & g t ; M e a s u r e s \ C a p a c i t y   M a x   S c o r e \ T a g I n f o \ F o r m u l a & l t ; / K e y & g t ; & l t ; / D i a g r a m O b j e c t K e y & g t ; & l t ; D i a g r a m O b j e c t K e y & g t ; & l t ; K e y & g t ; M e a s u r e s \ C a p a c i t y   M a x   S c o r e \ T a g I n f o \ V a l u e & l t ; / K e y & g t ; & l t ; / D i a g r a m O b j e c t K e y & g t ; & l t ; D i a g r a m O b j e c t K e y & g t ; & l t ; K e y & g t ; M e a s u r e s \ C a p a c i t y   % & l t ; / K e y & g t ; & l t ; / D i a g r a m O b j e c t K e y & g t ; & l t ; D i a g r a m O b j e c t K e y & g t ; & l t ; K e y & g t ; M e a s u r e s \ C a p a c i t y   % \ T a g I n f o \ F o r m u l a & l t ; / K e y & g t ; & l t ; / D i a g r a m O b j e c t K e y & g t ; & l t ; D i a g r a m O b j e c t K e y & g t ; & l t ; K e y & g t ; M e a s u r e s \ C a p a c i t y   % \ T a g I n f o \ V a l u e & l t ; / K e y & g t ; & l t ; / D i a g r a m O b j e c t K e y & g t ; & l t ; D i a g r a m O b j e c t K e y & g t ; & l t ; K e y & g t ; M e a s u r e s \ O v e r a l l   M a x   S c o r e & l t ; / K e y & g t ; & l t ; / D i a g r a m O b j e c t K e y & g t ; & l t ; D i a g r a m O b j e c t K e y & g t ; & l t ; K e y & g t ; M e a s u r e s \ O v e r a l l   M a x   S c o r e \ T a g I n f o \ F o r m u l a & l t ; / K e y & g t ; & l t ; / D i a g r a m O b j e c t K e y & g t ; & l t ; D i a g r a m O b j e c t K e y & g t ; & l t ; K e y & g t ; M e a s u r e s \ O v e r a l l   M a x   S c o r e \ T a g I n f o \ V a l u e & l t ; / K e y & g t ; & l t ; / D i a g r a m O b j e c t K e y & g t ; & l t ; D i a g r a m O b j e c t K e y & g t ; & l t ; K e y & g t ; M e a s u r e s \ O v e r a l l   % & l t ; / K e y & g t ; & l t ; / D i a g r a m O b j e c t K e y & g t ; & l t ; D i a g r a m O b j e c t K e y & g t ; & l t ; K e y & g t ; M e a s u r e s \ O v e r a l l   % \ T a g I n f o \ F o r m u l a & l t ; / K e y & g t ; & l t ; / D i a g r a m O b j e c t K e y & g t ; & l t ; D i a g r a m O b j e c t K e y & g t ; & l t ; K e y & g t ; M e a s u r e s \ O v e r a l l   % \ T a g I n f o \ V a l u e & l t ; / K e y & g t ; & l t ; / D i a g r a m O b j e c t K e y & g t ; & l t ; D i a g r a m O b j e c t K e y & g t ; & l t ; K e y & g t ; M e a s u r e s \ R e s u l t s   M a x   S c o r e & l t ; / K e y & g t ; & l t ; / D i a g r a m O b j e c t K e y & g t ; & l t ; D i a g r a m O b j e c t K e y & g t ; & l t ; K e y & g t ; M e a s u r e s \ R e s u l t s   M a x   S c o r e \ T a g I n f o \ F o r m u l a & l t ; / K e y & g t ; & l t ; / D i a g r a m O b j e c t K e y & g t ; & l t ; D i a g r a m O b j e c t K e y & g t ; & l t ; K e y & g t ; M e a s u r e s \ R e s u l t s   M a x   S c o r e \ T a g I n f o \ V a l u e & l t ; / K e y & g t ; & l t ; / D i a g r a m O b j e c t K e y & g t ; & l t ; D i a g r a m O b j e c t K e y & g t ; & l t ; K e y & g t ; M e a s u r e s \ R e s u l t s   % & l t ; / K e y & g t ; & l t ; / D i a g r a m O b j e c t K e y & g t ; & l t ; D i a g r a m O b j e c t K e y & g t ; & l t ; K e y & g t ; M e a s u r e s \ R e s u l t s   % \ T a g I n f o \ F o r m u l a & l t ; / K e y & g t ; & l t ; / D i a g r a m O b j e c t K e y & g t ; & l t ; D i a g r a m O b j e c t K e y & g t ; & l t ; K e y & g t ; M e a s u r e s \ R e s u l t s   % \ T a g I n f o \ V a l u e & l t ; / K e y & g t ; & l t ; / D i a g r a m O b j e c t K e y & g t ; & l t ; D i a g r a m O b j e c t K e y & g t ; & l t ; K e y & g t ; M e a s u r e s \ P l a n   M a x   S c o r e & l t ; / K e y & g t ; & l t ; / D i a g r a m O b j e c t K e y & g t ; & l t ; D i a g r a m O b j e c t K e y & g t ; & l t ; K e y & g t ; M e a s u r e s \ P l a n   M a x   S c o r e \ T a g I n f o \ F o r m u l a & l t ; / K e y & g t ; & l t ; / D i a g r a m O b j e c t K e y & g t ; & l t ; D i a g r a m O b j e c t K e y & g t ; & l t ; K e y & g t ; M e a s u r e s \ P l a n   M a x   S c o r e \ T a g I n f o \ V a l u e & l t ; / K e y & g t ; & l t ; / D i a g r a m O b j e c t K e y & g t ; & l t ; D i a g r a m O b j e c t K e y & g t ; & l t ; K e y & g t ; M e a s u r e s \ P l a n   % & l t ; / K e y & g t ; & l t ; / D i a g r a m O b j e c t K e y & g t ; & l t ; D i a g r a m O b j e c t K e y & g t ; & l t ; K e y & g t ; M e a s u r e s \ P l a n   % \ T a g I n f o \ F o r m u l a & l t ; / K e y & g t ; & l t ; / D i a g r a m O b j e c t K e y & g t ; & l t ; D i a g r a m O b j e c t K e y & g t ; & l t ; K e y & g t ; M e a s u r e s \ P l a n   % \ T a g I n f o \ V a l u e & l t ; / K e y & g t ; & l t ; / D i a g r a m O b j e c t K e y & g t ; & l t ; D i a g r a m O b j e c t K e y & g t ; & l t ; K e y & g t ; M e a s u r e s \ N e e d   M a x   S c o r e & l t ; / K e y & g t ; & l t ; / D i a g r a m O b j e c t K e y & g t ; & l t ; D i a g r a m O b j e c t K e y & g t ; & l t ; K e y & g t ; M e a s u r e s \ N e e d   M a x   S c o r e \ T a g I n f o \ F o r m u l a & l t ; / K e y & g t ; & l t ; / D i a g r a m O b j e c t K e y & g t ; & l t ; D i a g r a m O b j e c t K e y & g t ; & l t ; K e y & g t ; M e a s u r e s \ N e e d   M a x   S c o r e \ T a g I n f o \ V a l u e & l t ; / K e y & g t ; & l t ; / D i a g r a m O b j e c t K e y & g t ; & l t ; D i a g r a m O b j e c t K e y & g t ; & l t ; K e y & g t ; M e a s u r e s \ N e e d   % & l t ; / K e y & g t ; & l t ; / D i a g r a m O b j e c t K e y & g t ; & l t ; D i a g r a m O b j e c t K e y & g t ; & l t ; K e y & g t ; M e a s u r e s \ N e e d   % \ T a g I n f o \ F o r m u l a & l t ; / K e y & g t ; & l t ; / D i a g r a m O b j e c t K e y & g t ; & l t ; D i a g r a m O b j e c t K e y & g t ; & l t ; K e y & g t ; M e a s u r e s \ N e e d   % \ T a g I n f o \ V a l u e & l t ; / K e y & g t ; & l t ; / D i a g r a m O b j e c t K e y & g t ; & l t ; D i a g r a m O b j e c t K e y & g t ; & l t ; K e y & g t ; M e a s u r e s \ M a x .   P t s & l t ; / K e y & g t ; & l t ; / D i a g r a m O b j e c t K e y & g t ; & l t ; D i a g r a m O b j e c t K e y & g t ; & l t ; K e y & g t ; M e a s u r e s \ M a x .   P t s \ T a g I n f o \ F o r m u l a & l t ; / K e y & g t ; & l t ; / D i a g r a m O b j e c t K e y & g t ; & l t ; D i a g r a m O b j e c t K e y & g t ; & l t ; K e y & g t ; M e a s u r e s \ M a x .   P t s \ T a g I n f o \ V a l u e & l t ; / K e y & g t ; & l t ; / D i a g r a m O b j e c t K e y & g t ; & l t ; D i a g r a m O b j e c t K e y & g t ; & l t ; K e y & g t ; M e a s u r e s \ M i n .   P t s & l t ; / K e y & g t ; & l t ; / D i a g r a m O b j e c t K e y & g t ; & l t ; D i a g r a m O b j e c t K e y & g t ; & l t ; K e y & g t ; M e a s u r e s \ M i n .   P t s \ T a g I n f o \ F o r m u l a & l t ; / K e y & g t ; & l t ; / D i a g r a m O b j e c t K e y & g t ; & l t ; D i a g r a m O b j e c t K e y & g t ; & l t ; K e y & g t ; M e a s u r e s \ M i n .   P t s \ T a g I n f o \ V a l u e & l t ; / K e y & g t ; & l t ; / D i a g r a m O b j e c t K e y & g t ; & l t ; D i a g r a m O b j e c t K e y & g t ; & l t ; K e y & g t ; M e a s u r e s \ #   S c o r i n g & l t ; / K e y & g t ; & l t ; / D i a g r a m O b j e c t K e y & g t ; & l t ; D i a g r a m O b j e c t K e y & g t ; & l t ; K e y & g t ; M e a s u r e s \ #   S c o r i n g \ T a g I n f o \ F o r m u l a & l t ; / K e y & g t ; & l t ; / D i a g r a m O b j e c t K e y & g t ; & l t ; D i a g r a m O b j e c t K e y & g t ; & l t ; K e y & g t ; M e a s u r e s \ #   S c o r i n g \ T a g I n f o \ V a l u e & l t ; / K e y & g t ; & l t ; / D i a g r a m O b j e c t K e y & g t ; & l t ; D i a g r a m O b j e c t K e y & g t ; & l t ; K e y & g t ; C o l u m n s \ O r g a n i z a t i o n   N a m e & l t ; / K e y & g t ; & l t ; / D i a g r a m O b j e c t K e y & g t ; & l t ; D i a g r a m O b j e c t K e y & g t ; & l t ; K e y & g t ; C o l u m n s \ P r o j e c t   N a m e & l t ; / K e y & g t ; & l t ; / D i a g r a m O b j e c t K e y & g t ; & l t ; D i a g r a m O b j e c t K e y & g t ; & l t ; K e y & g t ; C o l u m n s \ N e e d & l t ; / K e y & g t ; & l t ; / D i a g r a m O b j e c t K e y & g t ; & l t ; D i a g r a m O b j e c t K e y & g t ; & l t ; K e y & g t ; C o l u m n s \ P r o j e c t   P l a n & l t ; / K e y & g t ; & l t ; / D i a g r a m O b j e c t K e y & g t ; & l t ; D i a g r a m O b j e c t K e y & g t ; & l t ; K e y & g t ; C o l u m n s \ P r o p o s e d   R e s u l t s & l t ; / K e y & g t ; & l t ; / D i a g r a m O b j e c t K e y & g t ; & l t ; D i a g r a m O b j e c t K e y & g t ; & l t ; K e y & g t ; C o l u m n s \ C a p a c i t y & l t ; / K e y & g t ; & l t ; / D i a g r a m O b j e c t K e y & g t ; & l t ; D i a g r a m O b j e c t K e y & g t ; & l t ; K e y & g t ; C o l u m n s \ E q u i t y & l t ; / K e y & g t ; & l t ; / D i a g r a m O b j e c t K e y & g t ; & l t ; D i a g r a m O b j e c t K e y & g t ; & l t ; K e y & g t ; C o l u m n s \ B u d g e t & l t ; / K e y & g t ; & l t ; / D i a g r a m O b j e c t K e y & g t ; & l t ; D i a g r a m O b j e c t K e y & g t ; & l t ; K e y & g t ; C o l u m n s \ O v e r a l l & l t ; / K e y & g t ; & l t ; / D i a g r a m O b j e c t K e y & g t ; & l t ; D i a g r a m O b j e c t K e y & g t ; & l t ; K e y & g t ; C o l u m n s \ T o t a l   P o i n t s & l t ; / K e y & g t ; & l t ; / D i a g r a m O b j e c t K e y & g t ; & l t ; D i a g r a m O b j e c t K e y & g t ; & l t ; K e y & g t ; C o l u m n s \ S c o r e   P e r c e n t a g e & l t ; / K e y & g t ; & l t ; / D i a g r a m O b j e c t K e y & g t ; & l t ; D i a g r a m O b j e c t K e y & g t ; & l t ; K e y & g t ; C o l u m n s \ L o o k u p K e y & l t ; / K e y & g t ; & l t ; / D i a g r a m O b j e c t K e y & g t ; & l t ; D i a g r a m O b j e c t K e y & g t ; & l t ; K e y & g t ; C o l u m n s \ F Y 2 1   G r a n t   $ ' s & l t ; / K e y & g t ; & l t ; / D i a g r a m O b j e c t K e y & g t ; & l t ; D i a g r a m O b j e c t K e y & g t ; & l t ; K e y & g t ; C o l u m n s \ F Y 2 2   R e q u e s t & l t ; / K e y & g t ; & l t ; / D i a g r a m O b j e c t K e y & g t ; & l t ; D i a g r a m O b j e c t K e y & g t ; & l t ; K e y & g t ; C o l u m n s \ T o t a l   P t s   C a l c & l t ; / K e y & g t ; & l t ; / D i a g r a m O b j e c t K e y & g t ; & l t ; D i a g r a m O b j e c t K e y & g t ; & l t ; K e y & g t ; C o l u m n s \ S c o r i n g   C o u n t & l t ; / K e y & g t ; & l t ; / D i a g r a m O b j e c t K e y & g t ; & l t ; D i a g r a m O b j e c t K e y & g t ; & l t ; K e y & g t ; C o l u m n s \ M a x   P o s s i b l e   P t s & l t ; / K e y & g t ; & l t ; / D i a g r a m O b j e c t K e y & g t ; & l t ; D i a g r a m O b j e c t K e y & g t ; & l t ; K e y & g t ; L i n k s \ & a m p ; l t ; C o l u m n s \ S u m   o f   E q u i t y   2 & a m p ; g t ; - & a m p ; l t ; M e a s u r e s \ E q u i t y & a m p ; g t ; & l t ; / K e y & g t ; & l t ; / D i a g r a m O b j e c t K e y & g t ; & l t ; D i a g r a m O b j e c t K e y & g t ; & l t ; K e y & g t ; L i n k s \ & a m p ; l t ; C o l u m n s \ S u m   o f   E q u i t y   2 & a m p ; g t ; - & a m p ; l t ; M e a s u r e s \ E q u i t y & a m p ; g t ; \ C O L U M N & l t ; / K e y & g t ; & l t ; / D i a g r a m O b j e c t K e y & g t ; & l t ; D i a g r a m O b j e c t K e y & g t ; & l t ; K e y & g t ; L i n k s \ & a m p ; l t ; C o l u m n s \ S u m   o f   E q u i t y   2 & a m p ; g t ; - & a m p ; l t ; M e a s u r e s \ E q u i t y & a m p ; g t ; \ M E A S U R E & l t ; / K e y & g t ; & l t ; / D i a g r a m O b j e c t K e y & g t ; & l t ; D i a g r a m O b j e c t K e y & g t ; & l t ; K e y & g t ; L i n k s \ & a m p ; l t ; C o l u m n s \ S u m   o f   B u d g e t   2 & a m p ; g t ; - & a m p ; l t ; M e a s u r e s \ B u d g e t & a m p ; g t ; & l t ; / K e y & g t ; & l t ; / D i a g r a m O b j e c t K e y & g t ; & l t ; D i a g r a m O b j e c t K e y & g t ; & l t ; K e y & g t ; L i n k s \ & a m p ; l t ; C o l u m n s \ S u m   o f   B u d g e t   2 & a m p ; g t ; - & a m p ; l t ; M e a s u r e s \ B u d g e t & a m p ; g t ; \ C O L U M N & l t ; / K e y & g t ; & l t ; / D i a g r a m O b j e c t K e y & g t ; & l t ; D i a g r a m O b j e c t K e y & g t ; & l t ; K e y & g t ; L i n k s \ & a m p ; l t ; C o l u m n s \ S u m   o f   B u d g e t   2 & a m p ; g t ; - & a m p ; l t ; M e a s u r e s \ B u d g e t & a m p ; g t ; \ M E A S U R E & l t ; / K e y & g t ; & l t ; / D i a g r a m O b j e c t K e y & g t ; & l t ; D i a g r a m O b j e c t K e y & g t ; & l t ; K e y & g t ; L i n k s \ & a m p ; l t ; C o l u m n s \ S u m   o f   O v e r a l l   2 & a m p ; g t ; - & a m p ; l t ; M e a s u r e s \ O v e r a l l & a m p ; g t ; & l t ; / K e y & g t ; & l t ; / D i a g r a m O b j e c t K e y & g t ; & l t ; D i a g r a m O b j e c t K e y & g t ; & l t ; K e y & g t ; L i n k s \ & a m p ; l t ; C o l u m n s \ S u m   o f   O v e r a l l   2 & a m p ; g t ; - & a m p ; l t ; M e a s u r e s \ O v e r a l l & a m p ; g t ; \ C O L U M N & l t ; / K e y & g t ; & l t ; / D i a g r a m O b j e c t K e y & g t ; & l t ; D i a g r a m O b j e c t K e y & g t ; & l t ; K e y & g t ; L i n k s \ & a m p ; l t ; C o l u m n s \ S u m   o f   O v e r a l l   2 & a m p ; g t ; - & a m p ; l t ; M e a s u r e s \ O v e r a l l & a m p ; g t ; \ M E A S U R E & l t ; / K e y & g t ; & l t ; / D i a g r a m O b j e c t K e y & g t ; & l t ; D i a g r a m O b j e c t K e y & g t ; & l t ; K e y & g t ; L i n k s \ & a m p ; l t ; C o l u m n s \ S u m   o f   C a p a c i t y   2 & a m p ; g t ; - & a m p ; l t ; M e a s u r e s \ C a p a c i t y & a m p ; g t ; & l t ; / K e y & g t ; & l t ; / D i a g r a m O b j e c t K e y & g t ; & l t ; D i a g r a m O b j e c t K e y & g t ; & l t ; K e y & g t ; L i n k s \ & a m p ; l t ; C o l u m n s \ S u m   o f   C a p a c i t y   2 & a m p ; g t ; - & a m p ; l t ; M e a s u r e s \ C a p a c i t y & a m p ; g t ; \ C O L U M N & l t ; / K e y & g t ; & l t ; / D i a g r a m O b j e c t K e y & g t ; & l t ; D i a g r a m O b j e c t K e y & g t ; & l t ; K e y & g t ; L i n k s \ & a m p ; l t ; C o l u m n s \ S u m   o f   C a p a c i t y   2 & a m p ; g t ; - & a m p ; l t ; M e a s u r e s \ C a p a c i t y & a m p ; g t ; \ M E A S U R E & l t ; / K e y & g t ; & l t ; / D i a g r a m O b j e c t K e y & g t ; & l t ; D i a g r a m O b j e c t K e y & g t ; & l t ; K e y & g t ; L i n k s \ & a m p ; l t ; C o l u m n s \ S u m   o f   P r o p o s e d   R e s u l t s   2 & a m p ; g t ; - & a m p ; l t ; M e a s u r e s \ P r o p o s e d   R e s u l t s & a m p ; g t ; & l t ; / K e y & g t ; & l t ; / D i a g r a m O b j e c t K e y & g t ; & l t ; D i a g r a m O b j e c t K e y & g t ; & l t ; K e y & g t ; L i n k s \ & a m p ; l t ; C o l u m n s \ S u m   o f   P r o p o s e d   R e s u l t s   2 & a m p ; g t ; - & a m p ; l t ; M e a s u r e s \ P r o p o s e d   R e s u l t s & a m p ; g t ; \ C O L U M N & l t ; / K e y & g t ; & l t ; / D i a g r a m O b j e c t K e y & g t ; & l t ; D i a g r a m O b j e c t K e y & g t ; & l t ; K e y & g t ; L i n k s \ & a m p ; l t ; C o l u m n s \ S u m   o f   P r o p o s e d   R e s u l t s   2 & a m p ; g t ; - & a m p ; l t ; M e a s u r e s \ P r o p o s e d   R e s u l t s & a m p ; g t ; \ M E A S U R E & l t ; / K e y & g t ; & l t ; / D i a g r a m O b j e c t K e y & g t ; & l t ; D i a g r a m O b j e c t K e y & g t ; & l t ; K e y & g t ; L i n k s \ & a m p ; l t ; C o l u m n s \ S u m   o f   P r o j e c t   P l a n   2 & a m p ; g t ; - & a m p ; l t ; M e a s u r e s \ P r o j e c t   P l a n & a m p ; g t ; & l t ; / K e y & g t ; & l t ; / D i a g r a m O b j e c t K e y & g t ; & l t ; D i a g r a m O b j e c t K e y & g t ; & l t ; K e y & g t ; L i n k s \ & a m p ; l t ; C o l u m n s \ S u m   o f   P r o j e c t   P l a n   2 & a m p ; g t ; - & a m p ; l t ; M e a s u r e s \ P r o j e c t   P l a n & a m p ; g t ; \ C O L U M N & l t ; / K e y & g t ; & l t ; / D i a g r a m O b j e c t K e y & g t ; & l t ; D i a g r a m O b j e c t K e y & g t ; & l t ; K e y & g t ; L i n k s \ & a m p ; l t ; C o l u m n s \ S u m   o f   P r o j e c t   P l a n   2 & a m p ; g t ; - & a m p ; l t ; M e a s u r e s \ P r o j e c t   P l a n & a m p ; g t ; \ M E A S U R E & l t ; / K e y & g t ; & l t ; / D i a g r a m O b j e c t K e y & g t ; & l t ; D i a g r a m O b j e c t K e y & g t ; & l t ; K e y & g t ; L i n k s \ & a m p ; l t ; C o l u m n s \ S u m   o f   N e e d   2 & a m p ; g t ; - & a m p ; l t ; M e a s u r e s \ N e e d & a m p ; g t ; & l t ; / K e y & g t ; & l t ; / D i a g r a m O b j e c t K e y & g t ; & l t ; D i a g r a m O b j e c t K e y & g t ; & l t ; K e y & g t ; L i n k s \ & a m p ; l t ; C o l u m n s \ S u m   o f   N e e d   2 & a m p ; g t ; - & a m p ; l t ; M e a s u r e s \ N e e d & a m p ; g t ; \ C O L U M N & l t ; / K e y & g t ; & l t ; / D i a g r a m O b j e c t K e y & g t ; & l t ; D i a g r a m O b j e c t K e y & g t ; & l t ; K e y & g t ; L i n k s \ & a m p ; l t ; C o l u m n s \ S u m   o f   N e e d   2 & a m p ; g t ; - & a m p ; l t ; M e a s u r e s \ N e e d & a m p ; g t ; \ M E A S U R E & l t ; / K e y & g t ; & l t ; / D i a g r a m O b j e c t K e y & g t ; & l t ; D i a g r a m O b j e c t K e y & g t ; & l t ; K e y & g t ; L i n k s \ & a m p ; l t ; C o l u m n s \ S u m   o f   S c o r i n g   C o u n t & a m p ; g t ; - & a m p ; l t ; M e a s u r e s \ S c o r i n g   C o u n t & a m p ; g t ; & l t ; / K e y & g t ; & l t ; / D i a g r a m O b j e c t K e y & g t ; & l t ; D i a g r a m O b j e c t K e y & g t ; & l t ; K e y & g t ; L i n k s \ & a m p ; l t ; C o l u m n s \ S u m   o f   S c o r i n g   C o u n t & a m p ; g t ; - & a m p ; l t ; M e a s u r e s \ S c o r i n g   C o u n t & a m p ; g t ; \ C O L U M N & l t ; / K e y & g t ; & l t ; / D i a g r a m O b j e c t K e y & g t ; & l t ; D i a g r a m O b j e c t K e y & g t ; & l t ; K e y & g t ; L i n k s \ & a m p ; l t ; C o l u m n s \ S u m   o f   S c o r i n g   C o u n t & a m p ; g t ; - & a m p ; l t ; M e a s u r e s \ S c o r i n g   C o u n t & a m p ; g t ; \ M E A S U R E & l t ; / K e y & g t ; & l t ; / D i a g r a m O b j e c t K e y & g t ; & l t ; D i a g r a m O b j e c t K e y & g t ; & l t ; K e y & g t ; L i n k s \ & a m p ; l t ; C o l u m n s \ S u m   o f   T o t a l   P t s   C a l c   2 & a m p ; g t ; - & a m p ; l t ; M e a s u r e s \ T o t a l   P t s   C a l c & a m p ; g t ; & l t ; / K e y & g t ; & l t ; / D i a g r a m O b j e c t K e y & g t ; & l t ; D i a g r a m O b j e c t K e y & g t ; & l t ; K e y & g t ; L i n k s \ & a m p ; l t ; C o l u m n s \ S u m   o f   T o t a l   P t s   C a l c   2 & a m p ; g t ; - & a m p ; l t ; M e a s u r e s \ T o t a l   P t s   C a l c & a m p ; g t ; \ C O L U M N & l t ; / K e y & g t ; & l t ; / D i a g r a m O b j e c t K e y & g t ; & l t ; D i a g r a m O b j e c t K e y & g t ; & l t ; K e y & g t ; L i n k s \ & a m p ; l t ; C o l u m n s \ S u m   o f   T o t a l   P t s   C a l c   2 & a m p ; g t ; - & a m p ; l t ; M e a s u r e s \ T o t a l   P t s   C a l c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1 5 & l t ; / F o c u s C o l u m n & g t ; & l t ; F o c u s R o w & g t ; 5 & l t ; / F o c u s R o w & g t ; & l t ; S e l e c t i o n E n d C o l u m n & g t ; 1 5 & l t ; / S e l e c t i o n E n d C o l u m n & g t ; & l t ; S e l e c t i o n E n d R o w & g t ; 5 & l t ; / S e l e c t i o n E n d R o w & g t ; & l t ; S e l e c t i o n S t a r t C o l u m n & g t ; 1 5 & l t ; / S e l e c t i o n S t a r t C o l u m n & g t ; & l t ; S e l e c t i o n S t a r t R o w & g t ; 5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 E q u i t y 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 E q u i t y 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 E q u i t y 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 B u d g e t   2 & l t ; / K e y & g t ; & l t ; / a : K e y & g t ; & l t ; a : V a l u e 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 B u d g e t 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 B u d g e t 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 O v e r a l l   2 & l t ; / K e y & g t ; & l t ; / a : K e y & g t ; & l t ; a : V a l u e 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 O v e r a l l 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 O v e r a l l 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 C a p a c i t y   2 & l t ; / K e y & g t ; & l t ; / a : K e y & g t ; & l t ; a : V a l u e 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 C a p a c i t y 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 C a p a c i t y 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 P r o p o s e d   R e s u l t s   2 & l t ; / K e y & g t ; & l t ; / a : K e y & g t ; & l t ; a : V a l u e 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 P r o p o s e d   R e s u l t s 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 P r o p o s e d   R e s u l t s 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 P r o j e c t   P l a n   2 & l t ; / K e y & g t ; & l t ; / a : K e y & g t ; & l t ; a : V a l u e 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 P r o j e c t   P l a n 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 P r o j e c t   P l a n 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 N e e d   2 & l t ; / K e y & g t ; & l t ; / a : K e y & g t ; & l t ; a : V a l u e 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 N e e d 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 N e e d 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 S c o r i n g   C o u n t & l t ; / K e y & g t ; & l t ; / a : K e y & g t ; & l t ; a : V a l u e 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 S c o r i n g   C o u n t \ T a g I n f o \ F o r m u l a & l t ; / K e y & g t ; & l t ; / a : K e y & g t ; & l t ; a : V a l u e 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 S c o r i n g   C o u n t \ T a g I n f o \ V a l u e & l t ; / K e y & g t ; & l t ; / a : K e y & g t ; & l t ; a : V a l u e 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 T o t a l   P t s   C a l c   2 & l t ; / K e y & g t ; & l t ; / a : K e y & g t ; & l t ; a : V a l u e 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 T o t a l   P t s   C a l c 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 T o t a l   P t s   C a l c 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 F Y 2 1   G r a n t   $ ' s & l t ; / K e y & g t ; & l t ; / a : K e y & g t ; & l t ; a : V a l u e 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 F Y 2 1   G r a n t   $ ' s \ T a g I n f o \ F o r m u l a & l t ; / K e y & g t ; & l t ; / a : K e y & g t ; & l t ; a : V a l u e 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 F Y 2 1   G r a n t   $ ' s \ T a g I n f o \ V a l u e & l t ; / K e y & g t ; & l t ; / a : K e y & g t ; & l t ; a : V a l u e 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 F Y 2 2   R e q u e s t & l t ; / K e y & g t ; & l t ; / a : K e y & g t ; & l t ; a : V a l u e 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 F Y 2 2   R e q u e s t \ T a g I n f o \ F o r m u l a & l t ; / K e y & g t ; & l t ; / a : K e y & g t ; & l t ; a : V a l u e 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 F Y 2 2   R e q u e s t \ T a g I n f o \ V a l u e & l t ; / K e y & g t ; & l t ; / a : K e y & g t ; & l t ; a : V a l u e 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 O v e r a l l & l t ; / K e y & g t ; & l t ; / a : K e y & g t ; & l t ; a : V a l u e 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 O v e r a l l \ T a g I n f o \ F o r m u l a & l t ; / K e y & g t ; & l t ; / a : K e y & g t ; & l t ; a : V a l u e 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 O v e r a l l \ T a g I n f o \ V a l u e & l t ; / K e y & g t ; & l t ; / a : K e y & g t ; & l t ; a : V a l u e 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 B u d g e t & l t ; / K e y & g t ; & l t ; / a : K e y & g t ; & l t ; a : V a l u e 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 B u d g e t \ T a g I n f o \ F o r m u l a & l t ; / K e y & g t ; & l t ; / a : K e y & g t ; & l t ; a : V a l u e 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 B u d g e t \ T a g I n f o \ V a l u e & l t ; / K e y & g t ; & l t ; / a : K e y & g t ; & l t ; a : V a l u e 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 E q u i t y & l t ; / K e y & g t ; & l t ; / a : K e y & g t ; & l t ; a : V a l u e 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 E q u i t y \ T a g I n f o \ F o r m u l a & l t ; / K e y & g t ; & l t ; / a : K e y & g t ; & l t ; a : V a l u e 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 E q u i t y \ T a g I n f o \ V a l u e & l t ; / K e y & g t ; & l t ; / a : K e y & g t ; & l t ; a : V a l u e 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 C a p a c i t y & l t ; / K e y & g t ; & l t ; / a : K e y & g t ; & l t ; a : V a l u e 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 C a p a c i t y \ T a g I n f o \ F o r m u l a & l t ; / K e y & g t ; & l t ; / a : K e y & g t ; & l t ; a : V a l u e 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 C a p a c i t y \ T a g I n f o \ V a l u e & l t ; / K e y & g t ; & l t ; / a : K e y & g t ; & l t ; a : V a l u e 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 P r o p o s e d   R e s u l t s & l t ; / K e y & g t ; & l t ; / a : K e y & g t ; & l t ; a : V a l u e 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 P r o p o s e d   R e s u l t s \ T a g I n f o \ F o r m u l a & l t ; / K e y & g t ; & l t ; / a : K e y & g t ; & l t ; a : V a l u e 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 P r o p o s e d   R e s u l t s \ T a g I n f o \ V a l u e & l t ; / K e y & g t ; & l t ; / a : K e y & g t ; & l t ; a : V a l u e 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 P r o j e c t   P l a n & l t ; / K e y & g t ; & l t ; / a : K e y & g t ; & l t ; a : V a l u e 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 P r o j e c t   P l a n \ T a g I n f o \ F o r m u l a & l t ; / K e y & g t ; & l t ; / a : K e y & g t ; & l t ; a : V a l u e 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 P r o j e c t   P l a n \ T a g I n f o \ V a l u e & l t ; / K e y & g t ; & l t ; / a : K e y & g t ; & l t ; a : V a l u e 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 N e e d & l t ; / K e y & g t ; & l t ; / a : K e y & g t ; & l t ; a : V a l u e 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 N e e d \ T a g I n f o \ F o r m u l a & l t ; / K e y & g t ; & l t ; / a : K e y & g t ; & l t ; a : V a l u e 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 N e e d \ T a g I n f o \ V a l u e & l t ; / K e y & g t ; & l t ; / a : K e y & g t ; & l t ; a : V a l u e 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 T o t a l   P t s   C a l c & l t ; / K e y & g t ; & l t ; / a : K e y & g t ; & l t ; a : V a l u e 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 T o t a l   P t s   C a l c \ T a g I n f o \ F o r m u l a & l t ; / K e y & g t ; & l t ; / a : K e y & g t ; & l t ; a : V a l u e 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 T o t a l   P t s   C a l c \ T a g I n f o \ V a l u e & l t ; / K e y & g t ; & l t ; / a : K e y & g t ; & l t ; a : V a l u e 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 M a x   P o s s i b l e   P t s & l t ; / K e y & g t ; & l t ; / a : K e y & g t ; & l t ; a : V a l u e 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 M a x   P o s s i b l e   P t s \ T a g I n f o \ F o r m u l a & l t ; / K e y & g t ; & l t ; / a : K e y & g t ; & l t ; a : V a l u e 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 M a x   P o s s i b l e   P t s \ T a g I n f o \ V a l u e & l t ; / K e y & g t ; & l t ; / a : K e y & g t ; & l t ; a : V a l u e 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c o r e   % & l t ; / K e y & g t ; & l t ; / a : K e y & g t ; & l t ; a : V a l u e 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c o r e   % \ T a g I n f o \ F o r m u l a & l t ; / K e y & g t ; & l t ; / a : K e y & g t ; & l t ; a : V a l u e 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c o r e   % \ T a g I n f o \ V a l u e & l t ; / K e y & g t ; & l t ; / a : K e y & g t ; & l t ; a : V a l u e 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q u i t y   M a x   S c o r e & l t ; / K e y & g t ; & l t ; / a : K e y & g t ; & l t ; a : V a l u e 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q u i t y   M a x   S c o r e \ T a g I n f o \ F o r m u l a & l t ; / K e y & g t ; & l t ; / a : K e y & g t ; & l t ; a : V a l u e 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q u i t y   M a x   S c o r e \ T a g I n f o \ V a l u e & l t ; / K e y & g t ; & l t ; / a : K e y & g t ; & l t ; a : V a l u e 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q u i t y   % & l t ; / K e y & g t ; & l t ; / a : K e y & g t ; & l t ; a : V a l u e 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q u i t y   % \ T a g I n f o \ F o r m u l a & l t ; / K e y & g t ; & l t ; / a : K e y & g t ; & l t ; a : V a l u e 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q u i t y   % \ T a g I n f o \ V a l u e & l t ; / K e y & g t ; & l t ; / a : K e y & g t ; & l t ; a : V a l u e 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o w   C o u n t & l t ; / K e y & g t ; & l t ; / a : K e y & g t ; & l t ; a : V a l u e 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o w   C o u n t \ T a g I n f o \ F o r m u l a & l t ; / K e y & g t ; & l t ; / a : K e y & g t ; & l t ; a : V a l u e 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o w   C o u n t \ T a g I n f o \ V a l u e & l t ; / K e y & g t ; & l t ; / a : K e y & g t ; & l t ; a : V a l u e 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q u i t y   R o w   C o u n t & l t ; / K e y & g t ; & l t ; / a : K e y & g t ; & l t ; a : V a l u e 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q u i t y   R o w   C o u n t \ T a g I n f o \ F o r m u l a & l t ; / K e y & g t ; & l t ; / a : K e y & g t ; & l t ; a : V a l u e 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q u i t y   R o w   C o u n t \ T a g I n f o \ V a l u e & l t ; / K e y & g t ; & l t ; / a : K e y & g t ; & l t ; a : V a l u e 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 P t s   R o w   C o u n t & l t ; / K e y & g t ; & l t ; / a : K e y & g t ; & l t ; a : V a l u e 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 P t s   R o w   C o u n t \ T a g I n f o \ F o r m u l a & l t ; / K e y & g t ; & l t ; / a : K e y & g t ; & l t ; a : V a l u e 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 P t s   R o w   C o u n t \ T a g I n f o \ V a l u e & l t ; / K e y & g t ; & l t ; / a : K e y & g t ; & l t ; a : V a l u e 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B u d g e t   M a x   S c o r e & l t ; / K e y & g t ; & l t ; / a : K e y & g t ; & l t ; a : V a l u e 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B u d g e t   M a x   S c o r e \ T a g I n f o \ F o r m u l a & l t ; / K e y & g t ; & l t ; / a : K e y & g t ; & l t ; a : V a l u e 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B u d g e t   M a x   S c o r e \ T a g I n f o \ V a l u e & l t ; / K e y & g t ; & l t ; / a : K e y & g t ; & l t ; a : V a l u e 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B u g e t   % & l t ; / K e y & g t ; & l t ; / a : K e y & g t ; & l t ; a : V a l u e 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B u g e t   % \ T a g I n f o \ F o r m u l a & l t ; / K e y & g t ; & l t ; / a : K e y & g t ; & l t ; a : V a l u e 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B u g e t   % \ T a g I n f o \ V a l u e & l t ; / K e y & g t ; & l t ; / a : K e y & g t ; & l t ; a : V a l u e 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a p a c i t y   M a x   S c o r e & l t ; / K e y & g t ; & l t ; / a : K e y & g t ; & l t ; a : V a l u e 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a p a c i t y   M a x   S c o r e \ T a g I n f o \ F o r m u l a & l t ; / K e y & g t ; & l t ; / a : K e y & g t ; & l t ; a : V a l u e 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a p a c i t y   M a x   S c o r e \ T a g I n f o \ V a l u e & l t ; / K e y & g t ; & l t ; / a : K e y & g t ; & l t ; a : V a l u e 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a p a c i t y   % & l t ; / K e y & g t ; & l t ; / a : K e y & g t ; & l t ; a : V a l u e 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a p a c i t y   % \ T a g I n f o \ F o r m u l a & l t ; / K e y & g t ; & l t ; / a : K e y & g t ; & l t ; a : V a l u e 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a p a c i t y   % \ T a g I n f o \ V a l u e & l t ; / K e y & g t ; & l t ; / a : K e y & g t ; & l t ; a : V a l u e 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v e r a l l   M a x   S c o r e & l t ; / K e y & g t ; & l t ; / a : K e y & g t ; & l t ; a : V a l u e 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v e r a l l   M a x   S c o r e \ T a g I n f o \ F o r m u l a & l t ; / K e y & g t ; & l t ; / a : K e y & g t ; & l t ; a : V a l u e 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v e r a l l   M a x   S c o r e \ T a g I n f o \ V a l u e & l t ; / K e y & g t ; & l t ; / a : K e y & g t ; & l t ; a : V a l u e 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v e r a l l   % & l t ; / K e y & g t ; & l t ; / a : K e y & g t ; & l t ; a : V a l u e 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v e r a l l   % \ T a g I n f o \ F o r m u l a & l t ; / K e y & g t ; & l t ; / a : K e y & g t ; & l t ; a : V a l u e 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v e r a l l   % \ T a g I n f o \ V a l u e & l t ; / K e y & g t ; & l t ; / a : K e y & g t ; & l t ; a : V a l u e 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s u l t s   M a x   S c o r e & l t ; / K e y & g t ; & l t ; / a : K e y & g t ; & l t ; a : V a l u e 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s u l t s   M a x   S c o r e \ T a g I n f o \ F o r m u l a & l t ; / K e y & g t ; & l t ; / a : K e y & g t ; & l t ; a : V a l u e 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s u l t s   M a x   S c o r e \ T a g I n f o \ V a l u e & l t ; / K e y & g t ; & l t ; / a : K e y & g t ; & l t ; a : V a l u e 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s u l t s   % & l t ; / K e y & g t ; & l t ; / a : K e y & g t ; & l t ; a : V a l u e 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s u l t s   % \ T a g I n f o \ F o r m u l a & l t ; / K e y & g t ; & l t ; / a : K e y & g t ; & l t ; a : V a l u e 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s u l t s   % \ T a g I n f o \ V a l u e & l t ; / K e y & g t ; & l t ; / a : K e y & g t ; & l t ; a : V a l u e 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 M a x   S c o r e & l t ; / K e y & g t ; & l t ; / a : K e y & g t ; & l t ; a : V a l u e 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 M a x   S c o r e \ T a g I n f o \ F o r m u l a & l t ; / K e y & g t ; & l t ; / a : K e y & g t ; & l t ; a : V a l u e 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 M a x   S c o r e \ T a g I n f o \ V a l u e & l t ; / K e y & g t ; & l t ; / a : K e y & g t ; & l t ; a : V a l u e 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 % & l t ; / K e y & g t ; & l t ; / a : K e y & g t ; & l t ; a : V a l u e 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 % \ T a g I n f o \ F o r m u l a & l t ; / K e y & g t ; & l t ; / a : K e y & g t ; & l t ; a : V a l u e 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 % \ T a g I n f o \ V a l u e & l t ; / K e y & g t ; & l t ; / a : K e y & g t ; & l t ; a : V a l u e 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e e d   M a x   S c o r e & l t ; / K e y & g t ; & l t ; / a : K e y & g t ; & l t ; a : V a l u e 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e e d   M a x   S c o r e \ T a g I n f o \ F o r m u l a & l t ; / K e y & g t ; & l t ; / a : K e y & g t ; & l t ; a : V a l u e 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e e d   M a x   S c o r e \ T a g I n f o \ V a l u e & l t ; / K e y & g t ; & l t ; / a : K e y & g t ; & l t ; a : V a l u e 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e e d   % & l t ; / K e y & g t ; & l t ; / a : K e y & g t ; & l t ; a : V a l u e 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e e d   % \ T a g I n f o \ F o r m u l a & l t ; / K e y & g t ; & l t ; / a : K e y & g t ; & l t ; a : V a l u e 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e e d   % \ T a g I n f o \ V a l u e & l t ; / K e y & g t ; & l t ; / a : K e y & g t ; & l t ; a : V a l u e 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a x .   P t s & l t ; / K e y & g t ; & l t ; / a : K e y & g t ; & l t ; a : V a l u e 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a x .   P t s \ T a g I n f o \ F o r m u l a & l t ; / K e y & g t ; & l t ; / a : K e y & g t ; & l t ; a : V a l u e 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a x .   P t s \ T a g I n f o \ V a l u e & l t ; / K e y & g t ; & l t ; / a : K e y & g t ; & l t ; a : V a l u e 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i n .   P t s & l t ; / K e y & g t ; & l t ; / a : K e y & g t ; & l t ; a : V a l u e 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R o w & g t ; 5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i n .   P t s \ T a g I n f o \ F o r m u l a & l t ; / K e y & g t ; & l t ; / a : K e y & g t ; & l t ; a : V a l u e 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i n .   P t s \ T a g I n f o \ V a l u e & l t ; / K e y & g t ; & l t ; / a : K e y & g t ; & l t ; a : V a l u e 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#   S c o r i n g & l t ; / K e y & g t ; & l t ; / a : K e y & g t ; & l t ; a : V a l u e 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#   S c o r i n g \ T a g I n f o \ F o r m u l a & l t ; / K e y & g t ; & l t ; / a : K e y & g t ; & l t ; a : V a l u e 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#   S c o r i n g \ T a g I n f o \ V a l u e & l t ; / K e y & g t ; & l t ; / a : K e y & g t ; & l t ; a : V a l u e 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e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 P l a n & l t ; / K e y & g t ; & l t ; / a : K e y & g t ; & l t ; a : V a l u e 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p o s e d   R e s u l t s & l t ; / K e y & g t ; & l t ; / a : K e y & g t ; & l t ; a : V a l u e 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a p a c i t y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q u i t y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u d g e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v e r a l l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o t a l   P o i n t s & l t ; / K e y & g t ; & l t ; / a : K e y & g t ; & l t ; a : V a l u e 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o r e   P e r c e n t a g e & l t ; / K e y & g t ; & l t ; / a : K e y & g t ; & l t ; a : V a l u e 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o o k u p K e y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1   G r a n t   $ ' s & l t ; / K e y & g t ; & l t ; / a : K e y & g t ; & l t ; a : V a l u e 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2   R e q u e s t & l t ; / K e y & g t ; & l t ; / a : K e y & g t ; & l t ; a : V a l u e 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o t a l   P t s   C a l c & l t ; / K e y & g t ; & l t ; / a : K e y & g t ; & l t ; a : V a l u e 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o r i n g   C o u n t & l t ; / K e y & g t ; & l t ; / a : K e y & g t ; & l t ; a : V a l u e 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x   P o s s i b l e   P t s & l t ; / K e y & g t ; & l t ; / a : K e y & g t ; & l t ; a : V a l u e 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 E q u i t y   2 & a m p ; g t ; - & a m p ; l t ; M e a s u r e s \ E q u i t y & a m p ; g t ; & l t ; / K e y & g t ; & l t ; / a : K e y & g t ; & l t ; a : V a l u e 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 E q u i t y   2 & a m p ; g t ; - & a m p ; l t ; M e a s u r e s \ E q u i t y & a m p ; g t ; \ C O L U M N & l t ; / K e y & g t ; & l t ; / a : K e y & g t ; & l t ; a : V a l u e 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 E q u i t y   2 & a m p ; g t ; - & a m p ; l t ; M e a s u r e s \ E q u i t y & a m p ; g t ; \ M E A S U R E & l t ; / K e y & g t ; & l t ; / a : K e y & g t ; & l t ; a : V a l u e 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 B u d g e t   2 & a m p ; g t ; - & a m p ; l t ; M e a s u r e s \ B u d g e t & a m p ; g t ; & l t ; / K e y & g t ; & l t ; / a : K e y & g t ; & l t ; a : V a l u e 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 B u d g e t   2 & a m p ; g t ; - & a m p ; l t ; M e a s u r e s \ B u d g e t & a m p ; g t ; \ C O L U M N & l t ; / K e y & g t ; & l t ; / a : K e y & g t ; & l t ; a : V a l u e 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 B u d g e t   2 & a m p ; g t ; - & a m p ; l t ; M e a s u r e s \ B u d g e t & a m p ; g t ; \ M E A S U R E & l t ; / K e y & g t ; & l t ; / a : K e y & g t ; & l t ; a : V a l u e 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 O v e r a l l   2 & a m p ; g t ; - & a m p ; l t ; M e a s u r e s \ O v e r a l l & a m p ; g t ; & l t ; / K e y & g t ; & l t ; / a : K e y & g t ; & l t ; a : V a l u e 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 O v e r a l l   2 & a m p ; g t ; - & a m p ; l t ; M e a s u r e s \ O v e r a l l & a m p ; g t ; \ C O L U M N & l t ; / K e y & g t ; & l t ; / a : K e y & g t ; & l t ; a : V a l u e 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 O v e r a l l   2 & a m p ; g t ; - & a m p ; l t ; M e a s u r e s \ O v e r a l l & a m p ; g t ; \ M E A S U R E & l t ; / K e y & g t ; & l t ; / a : K e y & g t ; & l t ; a : V a l u e 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 C a p a c i t y   2 & a m p ; g t ; - & a m p ; l t ; M e a s u r e s \ C a p a c i t y & a m p ; g t ; & l t ; / K e y & g t ; & l t ; / a : K e y & g t ; & l t ; a : V a l u e 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 C a p a c i t y   2 & a m p ; g t ; - & a m p ; l t ; M e a s u r e s \ C a p a c i t y & a m p ; g t ; \ C O L U M N & l t ; / K e y & g t ; & l t ; / a : K e y & g t ; & l t ; a : V a l u e 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 C a p a c i t y   2 & a m p ; g t ; - & a m p ; l t ; M e a s u r e s \ C a p a c i t y & a m p ; g t ; \ M E A S U R E & l t ; / K e y & g t ; & l t ; / a : K e y & g t ; & l t ; a : V a l u e 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 P r o p o s e d   R e s u l t s   2 & a m p ; g t ; - & a m p ; l t ; M e a s u r e s \ P r o p o s e d   R e s u l t s & a m p ; g t ; & l t ; / K e y & g t ; & l t ; / a : K e y & g t ; & l t ; a : V a l u e 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 P r o p o s e d   R e s u l t s   2 & a m p ; g t ; - & a m p ; l t ; M e a s u r e s \ P r o p o s e d   R e s u l t s & a m p ; g t ; \ C O L U M N & l t ; / K e y & g t ; & l t ; / a : K e y & g t ; & l t ; a : V a l u e 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 P r o p o s e d   R e s u l t s   2 & a m p ; g t ; - & a m p ; l t ; M e a s u r e s \ P r o p o s e d   R e s u l t s & a m p ; g t ; \ M E A S U R E & l t ; / K e y & g t ; & l t ; / a : K e y & g t ; & l t ; a : V a l u e 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 P r o j e c t   P l a n   2 & a m p ; g t ; - & a m p ; l t ; M e a s u r e s \ P r o j e c t   P l a n & a m p ; g t ; & l t ; / K e y & g t ; & l t ; / a : K e y & g t ; & l t ; a : V a l u e 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 P r o j e c t   P l a n   2 & a m p ; g t ; - & a m p ; l t ; M e a s u r e s \ P r o j e c t   P l a n & a m p ; g t ; \ C O L U M N & l t ; / K e y & g t ; & l t ; / a : K e y & g t ; & l t ; a : V a l u e 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 P r o j e c t   P l a n   2 & a m p ; g t ; - & a m p ; l t ; M e a s u r e s \ P r o j e c t   P l a n & a m p ; g t ; \ M E A S U R E & l t ; / K e y & g t ; & l t ; / a : K e y & g t ; & l t ; a : V a l u e 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 N e e d   2 & a m p ; g t ; - & a m p ; l t ; M e a s u r e s \ N e e d & a m p ; g t ; & l t ; / K e y & g t ; & l t ; / a : K e y & g t ; & l t ; a : V a l u e 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 N e e d   2 & a m p ; g t ; - & a m p ; l t ; M e a s u r e s \ N e e d & a m p ; g t ; \ C O L U M N & l t ; / K e y & g t ; & l t ; / a : K e y & g t ; & l t ; a : V a l u e 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 N e e d   2 & a m p ; g t ; - & a m p ; l t ; M e a s u r e s \ N e e d & a m p ; g t ; \ M E A S U R E & l t ; / K e y & g t ; & l t ; / a : K e y & g t ; & l t ; a : V a l u e 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 S c o r i n g   C o u n t & a m p ; g t ; - & a m p ; l t ; M e a s u r e s \ S c o r i n g   C o u n t & a m p ; g t ; & l t ; / K e y & g t ; & l t ; / a : K e y & g t ; & l t ; a : V a l u e 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 S c o r i n g   C o u n t & a m p ; g t ; - & a m p ; l t ; M e a s u r e s \ S c o r i n g   C o u n t & a m p ; g t ; \ C O L U M N & l t ; / K e y & g t ; & l t ; / a : K e y & g t ; & l t ; a : V a l u e 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 S c o r i n g   C o u n t & a m p ; g t ; - & a m p ; l t ; M e a s u r e s \ S c o r i n g   C o u n t & a m p ; g t ; \ M E A S U R E & l t ; / K e y & g t ; & l t ; / a : K e y & g t ; & l t ; a : V a l u e 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 T o t a l   P t s   C a l c   2 & a m p ; g t ; - & a m p ; l t ; M e a s u r e s \ T o t a l   P t s   C a l c & a m p ; g t ; & l t ; / K e y & g t ; & l t ; / a : K e y & g t ; & l t ; a : V a l u e 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 T o t a l   P t s   C a l c   2 & a m p ; g t ; - & a m p ; l t ; M e a s u r e s \ T o t a l   P t s   C a l c & a m p ; g t ; \ C O L U M N & l t ; / K e y & g t ; & l t ; / a : K e y & g t ; & l t ; a : V a l u e 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 T o t a l   P t s   C a l c   2 & a m p ; g t ; - & a m p ; l t ; M e a s u r e s \ T o t a l   P t s   C a l c & a m p ; g t ; \ M E A S U R E & l t ; / K e y & g t ; & l t ; / a : K e y & g t ; & l t ; a : V a l u e 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0A666A69-4DD1-4CBB-984D-7A571D74F3B8}">
  <ds:schemaRefs/>
</ds:datastoreItem>
</file>

<file path=customXml/itemProps10.xml><?xml version="1.0" encoding="utf-8"?>
<ds:datastoreItem xmlns:ds="http://schemas.openxmlformats.org/officeDocument/2006/customXml" ds:itemID="{26B7E2BE-69BC-4928-B950-EBDEEF551D7C}">
  <ds:schemaRefs/>
</ds:datastoreItem>
</file>

<file path=customXml/itemProps11.xml><?xml version="1.0" encoding="utf-8"?>
<ds:datastoreItem xmlns:ds="http://schemas.openxmlformats.org/officeDocument/2006/customXml" ds:itemID="{57D15F0F-2FB3-414A-A6EF-7A6F894E795E}">
  <ds:schemaRefs/>
</ds:datastoreItem>
</file>

<file path=customXml/itemProps12.xml><?xml version="1.0" encoding="utf-8"?>
<ds:datastoreItem xmlns:ds="http://schemas.openxmlformats.org/officeDocument/2006/customXml" ds:itemID="{0F4A9292-4B21-4EBA-A1A5-F4071FFB38CF}">
  <ds:schemaRefs/>
</ds:datastoreItem>
</file>

<file path=customXml/itemProps13.xml><?xml version="1.0" encoding="utf-8"?>
<ds:datastoreItem xmlns:ds="http://schemas.openxmlformats.org/officeDocument/2006/customXml" ds:itemID="{D0C94661-ED6B-4334-A17C-17A12B919C55}">
  <ds:schemaRefs/>
</ds:datastoreItem>
</file>

<file path=customXml/itemProps14.xml><?xml version="1.0" encoding="utf-8"?>
<ds:datastoreItem xmlns:ds="http://schemas.openxmlformats.org/officeDocument/2006/customXml" ds:itemID="{D70EEE2A-75AA-47C5-BE0D-5163A1310F9D}">
  <ds:schemaRefs/>
</ds:datastoreItem>
</file>

<file path=customXml/itemProps15.xml><?xml version="1.0" encoding="utf-8"?>
<ds:datastoreItem xmlns:ds="http://schemas.openxmlformats.org/officeDocument/2006/customXml" ds:itemID="{A8548734-E7A3-4BAE-B8A2-A5DF9BEB07F4}">
  <ds:schemaRefs/>
</ds:datastoreItem>
</file>

<file path=customXml/itemProps16.xml><?xml version="1.0" encoding="utf-8"?>
<ds:datastoreItem xmlns:ds="http://schemas.openxmlformats.org/officeDocument/2006/customXml" ds:itemID="{80661E30-DCD3-4690-81E3-4482C6BA0C6D}">
  <ds:schemaRefs/>
</ds:datastoreItem>
</file>

<file path=customXml/itemProps17.xml><?xml version="1.0" encoding="utf-8"?>
<ds:datastoreItem xmlns:ds="http://schemas.openxmlformats.org/officeDocument/2006/customXml" ds:itemID="{63B83902-3BC8-4E03-94AA-7E791813EECF}">
  <ds:schemaRefs/>
</ds:datastoreItem>
</file>

<file path=customXml/itemProps18.xml><?xml version="1.0" encoding="utf-8"?>
<ds:datastoreItem xmlns:ds="http://schemas.openxmlformats.org/officeDocument/2006/customXml" ds:itemID="{C048FB96-1CA7-437D-99CD-062F97315232}">
  <ds:schemaRefs/>
</ds:datastoreItem>
</file>

<file path=customXml/itemProps19.xml><?xml version="1.0" encoding="utf-8"?>
<ds:datastoreItem xmlns:ds="http://schemas.openxmlformats.org/officeDocument/2006/customXml" ds:itemID="{7D6C947A-BB04-4203-BF05-BA19EE66B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157c5-0b34-4019-b892-cdf3cbd0bba6"/>
    <ds:schemaRef ds:uri="22fea025-f330-4e09-ac07-e6edffb86c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F4AAE-E869-4890-82FA-08D2C3C1E11E}">
  <ds:schemaRefs/>
</ds:datastoreItem>
</file>

<file path=customXml/itemProps20.xml><?xml version="1.0" encoding="utf-8"?>
<ds:datastoreItem xmlns:ds="http://schemas.openxmlformats.org/officeDocument/2006/customXml" ds:itemID="{9113EDB2-739B-4577-A9E6-FB997A396E91}">
  <ds:schemaRefs/>
</ds:datastoreItem>
</file>

<file path=customXml/itemProps21.xml><?xml version="1.0" encoding="utf-8"?>
<ds:datastoreItem xmlns:ds="http://schemas.openxmlformats.org/officeDocument/2006/customXml" ds:itemID="{4AF38D62-DAB5-4171-8804-F57C90FC42B2}">
  <ds:schemaRefs/>
</ds:datastoreItem>
</file>

<file path=customXml/itemProps22.xml><?xml version="1.0" encoding="utf-8"?>
<ds:datastoreItem xmlns:ds="http://schemas.openxmlformats.org/officeDocument/2006/customXml" ds:itemID="{D23E1C7E-9781-432D-8289-7EC324EFA8AB}">
  <ds:schemaRefs/>
</ds:datastoreItem>
</file>

<file path=customXml/itemProps23.xml><?xml version="1.0" encoding="utf-8"?>
<ds:datastoreItem xmlns:ds="http://schemas.openxmlformats.org/officeDocument/2006/customXml" ds:itemID="{A8FAC1A2-C4FD-4898-8793-097FFA2FBF98}">
  <ds:schemaRefs>
    <ds:schemaRef ds:uri="http://schemas.microsoft.com/sharepoint/v3/contenttype/forms"/>
  </ds:schemaRefs>
</ds:datastoreItem>
</file>

<file path=customXml/itemProps24.xml><?xml version="1.0" encoding="utf-8"?>
<ds:datastoreItem xmlns:ds="http://schemas.openxmlformats.org/officeDocument/2006/customXml" ds:itemID="{21F15853-FCCC-452B-AF8A-E9F7B583519D}">
  <ds:schemaRefs/>
</ds:datastoreItem>
</file>

<file path=customXml/itemProps25.xml><?xml version="1.0" encoding="utf-8"?>
<ds:datastoreItem xmlns:ds="http://schemas.openxmlformats.org/officeDocument/2006/customXml" ds:itemID="{A2A350BD-6AD9-4E9C-8610-8CC4707FCDCD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1d5157c5-0b34-4019-b892-cdf3cbd0bba6"/>
    <ds:schemaRef ds:uri="http://schemas.microsoft.com/office/2006/documentManagement/types"/>
    <ds:schemaRef ds:uri="http://schemas.microsoft.com/office/infopath/2007/PartnerControls"/>
    <ds:schemaRef ds:uri="22fea025-f330-4e09-ac07-e6edffb86c86"/>
    <ds:schemaRef ds:uri="http://purl.org/dc/dcmitype/"/>
  </ds:schemaRefs>
</ds:datastoreItem>
</file>

<file path=customXml/itemProps26.xml><?xml version="1.0" encoding="utf-8"?>
<ds:datastoreItem xmlns:ds="http://schemas.openxmlformats.org/officeDocument/2006/customXml" ds:itemID="{8C41234D-2277-4541-B458-AD65DA69A2B6}">
  <ds:schemaRefs>
    <ds:schemaRef ds:uri="http://schemas.microsoft.com/DataMashup"/>
  </ds:schemaRefs>
</ds:datastoreItem>
</file>

<file path=customXml/itemProps27.xml><?xml version="1.0" encoding="utf-8"?>
<ds:datastoreItem xmlns:ds="http://schemas.openxmlformats.org/officeDocument/2006/customXml" ds:itemID="{4A23296F-8E35-4114-9AD7-DA5ACC8A058F}">
  <ds:schemaRefs/>
</ds:datastoreItem>
</file>

<file path=customXml/itemProps3.xml><?xml version="1.0" encoding="utf-8"?>
<ds:datastoreItem xmlns:ds="http://schemas.openxmlformats.org/officeDocument/2006/customXml" ds:itemID="{9DC4C6CC-924B-4840-9792-26456BB63846}">
  <ds:schemaRefs/>
</ds:datastoreItem>
</file>

<file path=customXml/itemProps4.xml><?xml version="1.0" encoding="utf-8"?>
<ds:datastoreItem xmlns:ds="http://schemas.openxmlformats.org/officeDocument/2006/customXml" ds:itemID="{1DC9602C-DA9A-4C86-AA65-6097D4DD9D8D}">
  <ds:schemaRefs/>
</ds:datastoreItem>
</file>

<file path=customXml/itemProps5.xml><?xml version="1.0" encoding="utf-8"?>
<ds:datastoreItem xmlns:ds="http://schemas.openxmlformats.org/officeDocument/2006/customXml" ds:itemID="{06A5CF15-338A-4B53-A244-20E584DF4408}">
  <ds:schemaRefs/>
</ds:datastoreItem>
</file>

<file path=customXml/itemProps6.xml><?xml version="1.0" encoding="utf-8"?>
<ds:datastoreItem xmlns:ds="http://schemas.openxmlformats.org/officeDocument/2006/customXml" ds:itemID="{A447A641-3370-410D-9C3A-5D95E37B3F45}">
  <ds:schemaRefs/>
</ds:datastoreItem>
</file>

<file path=customXml/itemProps7.xml><?xml version="1.0" encoding="utf-8"?>
<ds:datastoreItem xmlns:ds="http://schemas.openxmlformats.org/officeDocument/2006/customXml" ds:itemID="{22AA85FF-B55A-4EB3-B38E-354FF75E8E30}">
  <ds:schemaRefs/>
</ds:datastoreItem>
</file>

<file path=customXml/itemProps8.xml><?xml version="1.0" encoding="utf-8"?>
<ds:datastoreItem xmlns:ds="http://schemas.openxmlformats.org/officeDocument/2006/customXml" ds:itemID="{2B464305-855B-4B71-86D6-53AD035C0CDE}">
  <ds:schemaRefs/>
</ds:datastoreItem>
</file>

<file path=customXml/itemProps9.xml><?xml version="1.0" encoding="utf-8"?>
<ds:datastoreItem xmlns:ds="http://schemas.openxmlformats.org/officeDocument/2006/customXml" ds:itemID="{A76550F4-2730-41FC-BE4F-ADF934434D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Funding Summary - Full Amount</vt:lpstr>
      <vt:lpstr>Funding Summary - Less ACS</vt:lpstr>
      <vt:lpstr>consolidated</vt:lpstr>
      <vt:lpstr>Summary</vt:lpstr>
      <vt:lpstr>Scoring Comparison</vt:lpstr>
      <vt:lpstr>Scores by Category</vt:lpstr>
      <vt:lpstr>Scoring Data</vt:lpstr>
      <vt:lpstr>Validation</vt:lpstr>
      <vt:lpstr>App's Recieved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Burnett Walz</dc:creator>
  <cp:lastModifiedBy>Angelyn Johnson</cp:lastModifiedBy>
  <dcterms:created xsi:type="dcterms:W3CDTF">2021-03-10T14:32:48Z</dcterms:created>
  <dcterms:modified xsi:type="dcterms:W3CDTF">2021-04-20T17:00:15Z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0x010100C6639D9C7E0EE440841D865E5B331AF6</vt:lpwstr>
  </property>
</Properties>
</file>